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135"/>
  </bookViews>
  <sheets>
    <sheet name="ФСГС" sheetId="8" r:id="rId1"/>
  </sheets>
  <definedNames>
    <definedName name="_xlnm.Print_Titles" localSheetId="0">ФСГС!$13:$13</definedName>
    <definedName name="_xlnm.Print_Area" localSheetId="0">ФСГС!$A$1:$AB$599</definedName>
  </definedNames>
  <calcPr calcId="145621"/>
</workbook>
</file>

<file path=xl/calcChain.xml><?xml version="1.0" encoding="utf-8"?>
<calcChain xmlns="http://schemas.openxmlformats.org/spreadsheetml/2006/main">
  <c r="AA160" i="8" l="1"/>
  <c r="AA165" i="8"/>
  <c r="AA164" i="8"/>
  <c r="V160" i="8"/>
  <c r="W160" i="8"/>
  <c r="X160" i="8"/>
  <c r="Y160" i="8"/>
  <c r="Z160" i="8"/>
  <c r="U160" i="8"/>
  <c r="AA48" i="8" l="1"/>
  <c r="Z486" i="8" l="1"/>
  <c r="Z485" i="8"/>
  <c r="AA43" i="8" l="1"/>
  <c r="AA44" i="8"/>
  <c r="Z48" i="8"/>
  <c r="Z47" i="8"/>
  <c r="Z502" i="8" l="1"/>
  <c r="AA490" i="8"/>
  <c r="AA491" i="8"/>
  <c r="AA489" i="8"/>
  <c r="AA488" i="8"/>
  <c r="Z487" i="8"/>
  <c r="X487" i="8"/>
  <c r="W487" i="8"/>
  <c r="V487" i="8"/>
  <c r="U487" i="8"/>
  <c r="T487" i="8"/>
  <c r="Z259" i="8"/>
  <c r="Z260" i="8"/>
  <c r="Z459" i="8"/>
  <c r="Z446" i="8"/>
  <c r="AA455" i="8"/>
  <c r="AA487" i="8" l="1"/>
  <c r="Z158" i="8"/>
  <c r="Z30" i="8" l="1"/>
  <c r="AA52" i="8"/>
  <c r="AA51" i="8"/>
  <c r="Z38" i="8"/>
  <c r="AA45" i="8"/>
  <c r="AA46" i="8"/>
  <c r="Y453" i="8" l="1"/>
  <c r="Y446" i="8" s="1"/>
  <c r="Y316" i="8"/>
  <c r="AA41" i="8"/>
  <c r="Z573" i="8" l="1"/>
  <c r="AA112" i="8" l="1"/>
  <c r="Y194" i="8" l="1"/>
  <c r="Y193" i="8"/>
  <c r="Y192" i="8" l="1"/>
  <c r="Z118" i="8" l="1"/>
  <c r="Y139" i="8"/>
  <c r="Y521" i="8"/>
  <c r="Y145" i="8"/>
  <c r="Y592" i="8" l="1"/>
  <c r="Y596" i="8"/>
  <c r="Y518" i="8"/>
  <c r="Y180" i="8" l="1"/>
  <c r="Y178" i="8"/>
  <c r="Y176" i="8"/>
  <c r="Y174" i="8"/>
  <c r="Y155" i="8"/>
  <c r="Y125" i="8"/>
  <c r="Y118" i="8" l="1"/>
  <c r="Z119" i="8"/>
  <c r="AA119" i="8" s="1"/>
  <c r="Y119" i="8"/>
  <c r="Y110" i="8"/>
  <c r="Y114" i="8"/>
  <c r="Y106" i="8"/>
  <c r="Y86" i="8"/>
  <c r="Y85" i="8"/>
  <c r="Y87" i="8"/>
  <c r="Y70" i="8"/>
  <c r="Y67" i="8"/>
  <c r="Y63" i="8"/>
  <c r="Y164" i="8"/>
  <c r="Y42" i="8"/>
  <c r="Z138" i="8" l="1"/>
  <c r="AA154" i="8"/>
  <c r="AA147" i="8" l="1"/>
  <c r="AA140" i="8"/>
  <c r="Y527" i="8" l="1"/>
  <c r="Y524" i="8"/>
  <c r="Y219" i="8"/>
  <c r="Y220" i="8"/>
  <c r="Y127" i="8"/>
  <c r="Y102" i="8"/>
  <c r="Y98" i="8"/>
  <c r="Y39" i="8"/>
  <c r="Z162" i="8" l="1"/>
  <c r="AA586" i="8" l="1"/>
  <c r="U583" i="8"/>
  <c r="V583" i="8"/>
  <c r="W583" i="8"/>
  <c r="Y583" i="8"/>
  <c r="Z583" i="8"/>
  <c r="T583" i="8"/>
  <c r="AA577" i="8"/>
  <c r="U574" i="8"/>
  <c r="V574" i="8"/>
  <c r="Y574" i="8"/>
  <c r="Z574" i="8"/>
  <c r="T574" i="8"/>
  <c r="AA591" i="8"/>
  <c r="AA592" i="8"/>
  <c r="Y590" i="8"/>
  <c r="Z590" i="8"/>
  <c r="X590" i="8"/>
  <c r="Z122" i="8" l="1"/>
  <c r="AA122" i="8" s="1"/>
  <c r="Z121" i="8"/>
  <c r="AA132" i="8"/>
  <c r="AA131" i="8"/>
  <c r="Y260" i="8" l="1"/>
  <c r="Y129" i="8" l="1"/>
  <c r="Y362" i="8" l="1"/>
  <c r="T259" i="8" l="1"/>
  <c r="U259" i="8"/>
  <c r="AA49" i="8"/>
  <c r="AA39" i="8"/>
  <c r="Y38" i="8"/>
  <c r="X42" i="8"/>
  <c r="X38" i="8" s="1"/>
  <c r="W42" i="8"/>
  <c r="W38" i="8" s="1"/>
  <c r="V42" i="8"/>
  <c r="V38" i="8" s="1"/>
  <c r="U42" i="8"/>
  <c r="U38" i="8" s="1"/>
  <c r="T42" i="8"/>
  <c r="T40" i="8"/>
  <c r="AA40" i="8" s="1"/>
  <c r="AA42" i="8" l="1"/>
  <c r="T38" i="8"/>
  <c r="AA38" i="8" s="1"/>
  <c r="Y268" i="8"/>
  <c r="Y360" i="8"/>
  <c r="Z169" i="8" l="1"/>
  <c r="Z29" i="8" s="1"/>
  <c r="Z25" i="8" s="1"/>
  <c r="Y169" i="8"/>
  <c r="Y486" i="8" l="1"/>
  <c r="Y485" i="8"/>
  <c r="AA496" i="8" l="1"/>
  <c r="AA495" i="8"/>
  <c r="AA494" i="8"/>
  <c r="AA493" i="8"/>
  <c r="Z492" i="8"/>
  <c r="Y492" i="8"/>
  <c r="X492" i="8"/>
  <c r="W492" i="8"/>
  <c r="V492" i="8"/>
  <c r="U492" i="8"/>
  <c r="T492" i="8"/>
  <c r="AA492" i="8" l="1"/>
  <c r="Y459" i="8"/>
  <c r="AA597" i="8"/>
  <c r="U596" i="8"/>
  <c r="AA596" i="8" s="1"/>
  <c r="Y92" i="8" l="1"/>
  <c r="AA50" i="8"/>
  <c r="AA86" i="8" l="1"/>
  <c r="AA85" i="8"/>
  <c r="T24" i="8" l="1"/>
  <c r="U24" i="8"/>
  <c r="V24" i="8"/>
  <c r="W24" i="8"/>
  <c r="T23" i="8" l="1"/>
  <c r="AA595" i="8" l="1"/>
  <c r="Y138" i="8" l="1"/>
  <c r="U485" i="8" l="1"/>
  <c r="V485" i="8"/>
  <c r="W485" i="8"/>
  <c r="X485" i="8"/>
  <c r="T485" i="8"/>
  <c r="AA485" i="8" s="1"/>
  <c r="T486" i="8"/>
  <c r="U486" i="8"/>
  <c r="V486" i="8"/>
  <c r="W486" i="8"/>
  <c r="X486" i="8"/>
  <c r="AA501" i="8"/>
  <c r="AA500" i="8"/>
  <c r="X502" i="8"/>
  <c r="W502" i="8"/>
  <c r="V502" i="8"/>
  <c r="U502" i="8"/>
  <c r="T502" i="8"/>
  <c r="AA504" i="8"/>
  <c r="AA503" i="8"/>
  <c r="AA499" i="8"/>
  <c r="AA498" i="8"/>
  <c r="U497" i="8"/>
  <c r="V497" i="8"/>
  <c r="V484" i="8" s="1"/>
  <c r="W497" i="8"/>
  <c r="X497" i="8"/>
  <c r="Y497" i="8"/>
  <c r="Y484" i="8" s="1"/>
  <c r="Z497" i="8"/>
  <c r="Z484" i="8" s="1"/>
  <c r="T497" i="8"/>
  <c r="T484" i="8" l="1"/>
  <c r="W484" i="8"/>
  <c r="U484" i="8"/>
  <c r="AA497" i="8"/>
  <c r="X484" i="8"/>
  <c r="AA502" i="8"/>
  <c r="Z141" i="8"/>
  <c r="Y141" i="8"/>
  <c r="Y48" i="8"/>
  <c r="Y29" i="8" s="1"/>
  <c r="Y25" i="8" s="1"/>
  <c r="Y133" i="8"/>
  <c r="AA484" i="8" l="1"/>
  <c r="Z136" i="8"/>
  <c r="Y136" i="8"/>
  <c r="X141" i="8" l="1"/>
  <c r="AA153" i="8"/>
  <c r="Y30" i="8" l="1"/>
  <c r="Y65" i="8" l="1"/>
  <c r="X518" i="8" l="1"/>
  <c r="X220" i="8"/>
  <c r="X98" i="8"/>
  <c r="X452" i="8"/>
  <c r="X176" i="8" l="1"/>
  <c r="X118" i="8" l="1"/>
  <c r="X117" i="8" l="1"/>
  <c r="X133" i="8"/>
  <c r="X155" i="8"/>
  <c r="X158" i="8"/>
  <c r="X267" i="8" l="1"/>
  <c r="AA186" i="8" l="1"/>
  <c r="X169" i="8" l="1"/>
  <c r="X510" i="8"/>
  <c r="X359" i="8" l="1"/>
  <c r="X527" i="8" l="1"/>
  <c r="X524" i="8"/>
  <c r="X237" i="8"/>
  <c r="X236" i="8"/>
  <c r="X228" i="8"/>
  <c r="X180" i="8"/>
  <c r="X139" i="8"/>
  <c r="X136" i="8" s="1"/>
  <c r="X110" i="8"/>
  <c r="X102" i="8"/>
  <c r="X67" i="8"/>
  <c r="X70" i="8"/>
  <c r="X65" i="8"/>
  <c r="X63" i="8" l="1"/>
  <c r="X78" i="8"/>
  <c r="X77" i="8"/>
  <c r="X75" i="8"/>
  <c r="X114" i="8"/>
  <c r="X123" i="8"/>
  <c r="X164" i="8"/>
  <c r="X162" i="8"/>
  <c r="X174" i="8"/>
  <c r="X222" i="8"/>
  <c r="X315" i="8"/>
  <c r="X48" i="8" l="1"/>
  <c r="Y259" i="8" l="1"/>
  <c r="AA142" i="8" l="1"/>
  <c r="U23" i="8" l="1"/>
  <c r="V23" i="8"/>
  <c r="W23" i="8"/>
  <c r="X106" i="8" l="1"/>
  <c r="X178" i="8"/>
  <c r="X127" i="8"/>
  <c r="X92" i="8"/>
  <c r="X125" i="8"/>
  <c r="AA510" i="8" l="1"/>
  <c r="AA588" i="8"/>
  <c r="X585" i="8" l="1"/>
  <c r="X583" i="8" s="1"/>
  <c r="X576" i="8"/>
  <c r="X574" i="8" s="1"/>
  <c r="X246" i="8"/>
  <c r="X245" i="8"/>
  <c r="X219" i="8"/>
  <c r="X463" i="8"/>
  <c r="X464" i="8"/>
  <c r="X128" i="8"/>
  <c r="AA167" i="8"/>
  <c r="X223" i="8" l="1"/>
  <c r="AA117" i="8" l="1"/>
  <c r="X116" i="8"/>
  <c r="Y116" i="8"/>
  <c r="Z116" i="8"/>
  <c r="W118" i="8"/>
  <c r="W116" i="8" s="1"/>
  <c r="V118" i="8"/>
  <c r="V116" i="8" s="1"/>
  <c r="U118" i="8"/>
  <c r="U116" i="8" s="1"/>
  <c r="T118" i="8"/>
  <c r="T116" i="8" s="1"/>
  <c r="AA118" i="8" l="1"/>
  <c r="AA116" i="8"/>
  <c r="X221" i="8" l="1"/>
  <c r="AA77" i="8" l="1"/>
  <c r="X74" i="8"/>
  <c r="Y74" i="8"/>
  <c r="Z74" i="8"/>
  <c r="W78" i="8"/>
  <c r="W74" i="8" s="1"/>
  <c r="V78" i="8"/>
  <c r="V74" i="8" s="1"/>
  <c r="U78" i="8"/>
  <c r="U74" i="8" s="1"/>
  <c r="T78" i="8"/>
  <c r="T74" i="8" s="1"/>
  <c r="AA76" i="8"/>
  <c r="AA75" i="8"/>
  <c r="AA78" i="8" l="1"/>
  <c r="X235" i="8" l="1"/>
  <c r="X30" i="8" l="1"/>
  <c r="X214" i="8" l="1"/>
  <c r="X260" i="8"/>
  <c r="X446" i="8"/>
  <c r="X261" i="8"/>
  <c r="Y261" i="8"/>
  <c r="Z261" i="8"/>
  <c r="X217" i="8" l="1"/>
  <c r="AA245" i="8"/>
  <c r="AA237" i="8"/>
  <c r="AA221" i="8"/>
  <c r="W229" i="8"/>
  <c r="Y229" i="8"/>
  <c r="Z229" i="8"/>
  <c r="AA229" i="8" l="1"/>
  <c r="U32" i="8"/>
  <c r="U27" i="8" s="1"/>
  <c r="V32" i="8"/>
  <c r="V27" i="8" s="1"/>
  <c r="W32" i="8"/>
  <c r="W27" i="8" s="1"/>
  <c r="X32" i="8"/>
  <c r="X27" i="8" s="1"/>
  <c r="Y32" i="8"/>
  <c r="Y27" i="8" s="1"/>
  <c r="Z32" i="8"/>
  <c r="Z27" i="8" s="1"/>
  <c r="T32" i="8"/>
  <c r="T27" i="8" s="1"/>
  <c r="W518" i="8" l="1"/>
  <c r="W98" i="8"/>
  <c r="W257" i="8" l="1"/>
  <c r="W527" i="8" l="1"/>
  <c r="W521" i="8"/>
  <c r="W180" i="8"/>
  <c r="W176" i="8"/>
  <c r="W133" i="8"/>
  <c r="W129" i="8"/>
  <c r="W125" i="8"/>
  <c r="W110" i="8"/>
  <c r="W102" i="8"/>
  <c r="W164" i="8"/>
  <c r="W193" i="8" l="1"/>
  <c r="W194" i="8"/>
  <c r="X173" i="8" l="1"/>
  <c r="Y173" i="8"/>
  <c r="Z173" i="8"/>
  <c r="AA594" i="8" l="1"/>
  <c r="W169" i="8" l="1"/>
  <c r="W192" i="8" l="1"/>
  <c r="V192" i="8"/>
  <c r="W155" i="8" l="1"/>
  <c r="W70" i="8"/>
  <c r="W84" i="8"/>
  <c r="W87" i="8"/>
  <c r="W65" i="8"/>
  <c r="W524" i="8"/>
  <c r="W178" i="8"/>
  <c r="W127" i="8"/>
  <c r="W106" i="8"/>
  <c r="W92" i="8"/>
  <c r="W222" i="8"/>
  <c r="W267" i="8" l="1"/>
  <c r="W174" i="8"/>
  <c r="W63" i="8"/>
  <c r="X29" i="8" l="1"/>
  <c r="X25" i="8" l="1"/>
  <c r="X23" i="8"/>
  <c r="Z535" i="8"/>
  <c r="Z536" i="8"/>
  <c r="Z537" i="8"/>
  <c r="Z540" i="8"/>
  <c r="Z543" i="8"/>
  <c r="Z546" i="8"/>
  <c r="Z534" i="8" l="1"/>
  <c r="AA143" i="8" l="1"/>
  <c r="AA144" i="8"/>
  <c r="X137" i="8"/>
  <c r="Y137" i="8"/>
  <c r="Z137" i="8"/>
  <c r="AA137" i="8" s="1"/>
  <c r="X138" i="8"/>
  <c r="Y26" i="8"/>
  <c r="Y23" i="8" s="1"/>
  <c r="W138" i="8"/>
  <c r="W137" i="8"/>
  <c r="W145" i="8"/>
  <c r="W136" i="8" s="1"/>
  <c r="AA152" i="8"/>
  <c r="AA151" i="8"/>
  <c r="AA150" i="8"/>
  <c r="AA149" i="8"/>
  <c r="AA148" i="8"/>
  <c r="V145" i="8"/>
  <c r="U145" i="8"/>
  <c r="T145" i="8"/>
  <c r="AA138" i="8" l="1"/>
  <c r="Z26" i="8"/>
  <c r="Z23" i="8" s="1"/>
  <c r="AA145" i="8"/>
  <c r="AA139" i="8"/>
  <c r="AA141" i="8"/>
  <c r="AA26" i="8" l="1"/>
  <c r="AA465" i="8"/>
  <c r="AA466" i="8"/>
  <c r="V464" i="8"/>
  <c r="U464" i="8"/>
  <c r="W463" i="8"/>
  <c r="W462" i="8" s="1"/>
  <c r="V463" i="8"/>
  <c r="U463" i="8"/>
  <c r="Z462" i="8"/>
  <c r="Y462" i="8"/>
  <c r="X462" i="8"/>
  <c r="V462" i="8"/>
  <c r="U462" i="8"/>
  <c r="AA464" i="8" l="1"/>
  <c r="AA462" i="8"/>
  <c r="AA463" i="8"/>
  <c r="AA584" i="8" l="1"/>
  <c r="AA585" i="8"/>
  <c r="AA583" i="8"/>
  <c r="W48" i="8" l="1"/>
  <c r="W29" i="8" s="1"/>
  <c r="W83" i="8" l="1"/>
  <c r="W162" i="8" l="1"/>
  <c r="W114" i="8"/>
  <c r="W576" i="8"/>
  <c r="W574" i="8" s="1"/>
  <c r="W359" i="8"/>
  <c r="W67" i="8" l="1"/>
  <c r="W217" i="8" l="1"/>
  <c r="AA508" i="8" l="1"/>
  <c r="AA506" i="8"/>
  <c r="AA185" i="8"/>
  <c r="AA183" i="8"/>
  <c r="AA449" i="8" l="1"/>
  <c r="AA452" i="8"/>
  <c r="AA453" i="8"/>
  <c r="AA454" i="8"/>
  <c r="W446" i="8"/>
  <c r="AA353" i="8"/>
  <c r="AA355" i="8"/>
  <c r="AA359" i="8"/>
  <c r="AA360" i="8"/>
  <c r="AA361" i="8"/>
  <c r="AA362" i="8"/>
  <c r="X351" i="8"/>
  <c r="Y351" i="8"/>
  <c r="Z351" i="8"/>
  <c r="W351" i="8"/>
  <c r="AA310" i="8"/>
  <c r="AA312" i="8"/>
  <c r="AA315" i="8"/>
  <c r="AA316" i="8"/>
  <c r="AA317" i="8"/>
  <c r="X308" i="8"/>
  <c r="Y308" i="8"/>
  <c r="Z308" i="8"/>
  <c r="W308" i="8"/>
  <c r="AA270" i="8"/>
  <c r="AA271" i="8"/>
  <c r="AA272" i="8"/>
  <c r="AA269" i="8"/>
  <c r="AA263" i="8"/>
  <c r="AA267" i="8"/>
  <c r="AA268" i="8"/>
  <c r="W261" i="8"/>
  <c r="Y258" i="8" l="1"/>
  <c r="Z258" i="8"/>
  <c r="V266" i="8" l="1"/>
  <c r="U266" i="8"/>
  <c r="V265" i="8"/>
  <c r="U265" i="8"/>
  <c r="AA266" i="8" l="1"/>
  <c r="AA265" i="8"/>
  <c r="AA47" i="8"/>
  <c r="V163" i="8" l="1"/>
  <c r="U163" i="8"/>
  <c r="U536" i="8" l="1"/>
  <c r="V451" i="8" l="1"/>
  <c r="V246" i="8"/>
  <c r="V230" i="8"/>
  <c r="V155" i="8"/>
  <c r="V114" i="8"/>
  <c r="V110" i="8"/>
  <c r="V102" i="8"/>
  <c r="V106" i="8"/>
  <c r="V63" i="8"/>
  <c r="V70" i="8"/>
  <c r="V133" i="8"/>
  <c r="AA166" i="8" l="1"/>
  <c r="W26" i="8" l="1"/>
  <c r="V169" i="8" l="1"/>
  <c r="U480" i="8" l="1"/>
  <c r="V480" i="8"/>
  <c r="U481" i="8"/>
  <c r="V481" i="8"/>
  <c r="V129" i="8" l="1"/>
  <c r="V123" i="8" l="1"/>
  <c r="V194" i="8"/>
  <c r="X257" i="8"/>
  <c r="Y257" i="8"/>
  <c r="Z257" i="8"/>
  <c r="V257" i="8"/>
  <c r="U517" i="8"/>
  <c r="V517" i="8"/>
  <c r="W517" i="8"/>
  <c r="W514" i="8" s="1"/>
  <c r="X517" i="8"/>
  <c r="X514" i="8" s="1"/>
  <c r="Y517" i="8"/>
  <c r="Y514" i="8" s="1"/>
  <c r="Z517" i="8"/>
  <c r="Z514" i="8" s="1"/>
  <c r="T517" i="8"/>
  <c r="AA529" i="8"/>
  <c r="AA526" i="8"/>
  <c r="AA523" i="8"/>
  <c r="AA520" i="8"/>
  <c r="Z572" i="8"/>
  <c r="X572" i="8"/>
  <c r="Y572" i="8"/>
  <c r="AA486" i="8"/>
  <c r="V479" i="8"/>
  <c r="U479" i="8"/>
  <c r="X476" i="8"/>
  <c r="Y476" i="8"/>
  <c r="X470" i="8"/>
  <c r="Y470" i="8"/>
  <c r="X473" i="8"/>
  <c r="Y473" i="8"/>
  <c r="X467" i="8"/>
  <c r="Y467" i="8"/>
  <c r="Y468" i="8"/>
  <c r="W259" i="8"/>
  <c r="X259" i="8"/>
  <c r="X190" i="8" s="1"/>
  <c r="W260" i="8"/>
  <c r="X459" i="8"/>
  <c r="X258" i="8" s="1"/>
  <c r="Y244" i="8"/>
  <c r="Y242" i="8" s="1"/>
  <c r="Z244" i="8"/>
  <c r="Z242" i="8" s="1"/>
  <c r="Y236" i="8"/>
  <c r="Y234" i="8" s="1"/>
  <c r="Z236" i="8"/>
  <c r="Z234" i="8" s="1"/>
  <c r="Y228" i="8"/>
  <c r="Y226" i="8" s="1"/>
  <c r="Z228" i="8"/>
  <c r="Z226" i="8" s="1"/>
  <c r="Z220" i="8"/>
  <c r="AA517" i="8" l="1"/>
  <c r="U174" i="8"/>
  <c r="AA174" i="8" s="1"/>
  <c r="U176" i="8"/>
  <c r="U178" i="8"/>
  <c r="AA178" i="8" s="1"/>
  <c r="U180" i="8"/>
  <c r="AA180" i="8" s="1"/>
  <c r="U172" i="8"/>
  <c r="AA181" i="8"/>
  <c r="AA179" i="8"/>
  <c r="AA177" i="8"/>
  <c r="AA175" i="8"/>
  <c r="W173" i="8"/>
  <c r="AA173" i="8" s="1"/>
  <c r="Z172" i="8"/>
  <c r="Y172" i="8"/>
  <c r="X172" i="8"/>
  <c r="W172" i="8"/>
  <c r="AA172" i="8" l="1"/>
  <c r="AA176" i="8"/>
  <c r="AA575" i="8"/>
  <c r="AA576" i="8"/>
  <c r="V450" i="8" l="1"/>
  <c r="V313" i="8"/>
  <c r="V314" i="8"/>
  <c r="AA314" i="8" s="1"/>
  <c r="V562" i="8"/>
  <c r="V564" i="8"/>
  <c r="V521" i="8"/>
  <c r="V527" i="8"/>
  <c r="V524" i="8"/>
  <c r="V125" i="8"/>
  <c r="V84" i="8"/>
  <c r="V87" i="8"/>
  <c r="V92" i="8"/>
  <c r="V91" i="8"/>
  <c r="V65" i="8"/>
  <c r="V67" i="8"/>
  <c r="V238" i="8"/>
  <c r="V222" i="8"/>
  <c r="V515" i="8" l="1"/>
  <c r="V260" i="8" l="1"/>
  <c r="V259" i="8"/>
  <c r="V446" i="8"/>
  <c r="V261" i="8"/>
  <c r="V308" i="8"/>
  <c r="V459" i="8" l="1"/>
  <c r="V258" i="8" s="1"/>
  <c r="V136" i="8" l="1"/>
  <c r="W244" i="8" l="1"/>
  <c r="W236" i="8"/>
  <c r="W228" i="8"/>
  <c r="W220" i="8"/>
  <c r="W538" i="8" l="1"/>
  <c r="X538" i="8"/>
  <c r="V468" i="8"/>
  <c r="V476" i="8"/>
  <c r="V473" i="8"/>
  <c r="V470" i="8"/>
  <c r="V467" i="8"/>
  <c r="V217" i="8" l="1"/>
  <c r="V231" i="8" l="1"/>
  <c r="V232" i="8"/>
  <c r="AA232" i="8" s="1"/>
  <c r="V223" i="8"/>
  <c r="V224" i="8"/>
  <c r="V239" i="8"/>
  <c r="V240" i="8"/>
  <c r="V247" i="8"/>
  <c r="V248" i="8"/>
  <c r="AA115" i="8"/>
  <c r="W80" i="8"/>
  <c r="X80" i="8"/>
  <c r="Y80" i="8"/>
  <c r="Z80" i="8"/>
  <c r="T80" i="8"/>
  <c r="V244" i="8"/>
  <c r="V236" i="8"/>
  <c r="V228" i="8"/>
  <c r="V220" i="8"/>
  <c r="V550" i="8" l="1"/>
  <c r="V545" i="8"/>
  <c r="V542" i="8"/>
  <c r="V539" i="8"/>
  <c r="V538" i="8"/>
  <c r="V541" i="8"/>
  <c r="V544" i="8"/>
  <c r="V547" i="8"/>
  <c r="AA90" i="8"/>
  <c r="V89" i="8"/>
  <c r="W89" i="8"/>
  <c r="X89" i="8"/>
  <c r="Y89" i="8"/>
  <c r="Z89" i="8"/>
  <c r="AA91" i="8"/>
  <c r="U92" i="8"/>
  <c r="U89" i="8" s="1"/>
  <c r="T92" i="8"/>
  <c r="AA83" i="8"/>
  <c r="V80" i="8"/>
  <c r="AA92" i="8" l="1"/>
  <c r="V72" i="8"/>
  <c r="T89" i="8"/>
  <c r="AA89" i="8" s="1"/>
  <c r="AA84" i="8"/>
  <c r="U106" i="8"/>
  <c r="U450" i="8" l="1"/>
  <c r="AA450" i="8" s="1"/>
  <c r="U356" i="8"/>
  <c r="AA356" i="8" s="1"/>
  <c r="U313" i="8"/>
  <c r="AA313" i="8" s="1"/>
  <c r="U164" i="8" l="1"/>
  <c r="U162" i="8"/>
  <c r="AA37" i="8"/>
  <c r="AA169" i="8"/>
  <c r="AA156" i="8"/>
  <c r="U257" i="8" l="1"/>
  <c r="U194" i="8" l="1"/>
  <c r="U192" i="8"/>
  <c r="U125" i="8"/>
  <c r="U155" i="8"/>
  <c r="U451" i="8"/>
  <c r="U564" i="8"/>
  <c r="U527" i="8"/>
  <c r="U244" i="8"/>
  <c r="U246" i="8"/>
  <c r="U110" i="8"/>
  <c r="U70" i="8"/>
  <c r="U560" i="8"/>
  <c r="U521" i="8"/>
  <c r="U228" i="8"/>
  <c r="U227" i="8"/>
  <c r="U230" i="8"/>
  <c r="U102" i="8"/>
  <c r="U82" i="8"/>
  <c r="U80" i="8" s="1"/>
  <c r="U65" i="8"/>
  <c r="U446" i="8" l="1"/>
  <c r="AA451" i="8"/>
  <c r="U358" i="8"/>
  <c r="AA358" i="8" s="1"/>
  <c r="U357" i="8"/>
  <c r="AA357" i="8" s="1"/>
  <c r="U562" i="8"/>
  <c r="U524" i="8"/>
  <c r="U236" i="8"/>
  <c r="U238" i="8"/>
  <c r="U127" i="8"/>
  <c r="U67" i="8"/>
  <c r="U222" i="8"/>
  <c r="U220" i="8"/>
  <c r="AA220" i="8" s="1"/>
  <c r="U63" i="8"/>
  <c r="U114" i="8" l="1"/>
  <c r="U133" i="8" l="1"/>
  <c r="U459" i="8"/>
  <c r="U590" i="8"/>
  <c r="AA590" i="8" s="1"/>
  <c r="AA578" i="8" l="1"/>
  <c r="W572" i="8" l="1"/>
  <c r="X540" i="8" l="1"/>
  <c r="X543" i="8"/>
  <c r="X546" i="8"/>
  <c r="X535" i="8"/>
  <c r="X26" i="8"/>
  <c r="U136" i="8" l="1"/>
  <c r="AA81" i="8" l="1"/>
  <c r="AA82" i="8"/>
  <c r="AA87" i="8"/>
  <c r="V157" i="8" l="1"/>
  <c r="W157" i="8"/>
  <c r="X157" i="8"/>
  <c r="Y157" i="8"/>
  <c r="Z157" i="8"/>
  <c r="U157" i="8" l="1"/>
  <c r="U519" i="8"/>
  <c r="U124" i="8"/>
  <c r="U98" i="8" l="1"/>
  <c r="U518" i="8"/>
  <c r="U243" i="8"/>
  <c r="U235" i="8"/>
  <c r="U219" i="8"/>
  <c r="U123" i="8"/>
  <c r="AA531" i="8" l="1"/>
  <c r="AA530" i="8"/>
  <c r="U476" i="8" l="1"/>
  <c r="U473" i="8"/>
  <c r="U470" i="8"/>
  <c r="U467" i="8"/>
  <c r="U170" i="8"/>
  <c r="AA163" i="8" l="1"/>
  <c r="U251" i="8" l="1"/>
  <c r="U252" i="8"/>
  <c r="U214" i="8"/>
  <c r="U242" i="8"/>
  <c r="AA243" i="8"/>
  <c r="V242" i="8"/>
  <c r="W242" i="8"/>
  <c r="X242" i="8"/>
  <c r="V234" i="8"/>
  <c r="W234" i="8"/>
  <c r="X234" i="8"/>
  <c r="U234" i="8"/>
  <c r="AA235" i="8"/>
  <c r="V226" i="8"/>
  <c r="W226" i="8"/>
  <c r="X226" i="8"/>
  <c r="U226" i="8"/>
  <c r="T227" i="8"/>
  <c r="AA227" i="8" s="1"/>
  <c r="V218" i="8"/>
  <c r="W218" i="8"/>
  <c r="X218" i="8"/>
  <c r="Y218" i="8"/>
  <c r="Z218" i="8"/>
  <c r="AA219" i="8"/>
  <c r="AA222" i="8"/>
  <c r="AA161" i="8"/>
  <c r="AA162" i="8"/>
  <c r="U260" i="8"/>
  <c r="U351" i="8"/>
  <c r="U308" i="8"/>
  <c r="U218" i="8" l="1"/>
  <c r="U261" i="8"/>
  <c r="U258" i="8" s="1"/>
  <c r="W258" i="8"/>
  <c r="U158" i="8" l="1"/>
  <c r="U129" i="8" l="1"/>
  <c r="U216" i="8" l="1"/>
  <c r="U189" i="8" s="1"/>
  <c r="V216" i="8" l="1"/>
  <c r="W216" i="8"/>
  <c r="W189" i="8" s="1"/>
  <c r="X216" i="8"/>
  <c r="X189" i="8" s="1"/>
  <c r="Y216" i="8"/>
  <c r="Y189" i="8" s="1"/>
  <c r="Z216" i="8"/>
  <c r="V214" i="8"/>
  <c r="W214" i="8"/>
  <c r="W190" i="8" s="1"/>
  <c r="Y214" i="8"/>
  <c r="Y190" i="8" s="1"/>
  <c r="Z214" i="8"/>
  <c r="AA23" i="8"/>
  <c r="X515" i="8"/>
  <c r="X24" i="8" l="1"/>
  <c r="Y24" i="8"/>
  <c r="U217" i="8"/>
  <c r="AA217" i="8" s="1"/>
  <c r="AA241" i="8"/>
  <c r="AA240" i="8"/>
  <c r="AA239" i="8"/>
  <c r="AA233" i="8"/>
  <c r="AA225" i="8"/>
  <c r="AA248" i="8"/>
  <c r="AA249" i="8"/>
  <c r="AA247" i="8"/>
  <c r="AA554" i="8"/>
  <c r="AA574" i="8" l="1"/>
  <c r="AA539" i="8"/>
  <c r="AA159" i="8"/>
  <c r="AA135" i="8"/>
  <c r="AA113" i="8"/>
  <c r="AA111" i="8"/>
  <c r="AA109" i="8"/>
  <c r="AA107" i="8"/>
  <c r="AA105" i="8"/>
  <c r="AA103" i="8"/>
  <c r="AA101" i="8"/>
  <c r="AA99" i="8"/>
  <c r="AA168" i="8"/>
  <c r="AA54" i="8"/>
  <c r="Z97" i="8"/>
  <c r="Z35" i="8" s="1"/>
  <c r="Z96" i="8"/>
  <c r="AA96" i="8" s="1"/>
  <c r="Z95" i="8"/>
  <c r="Z94" i="8"/>
  <c r="Z73" i="8"/>
  <c r="Z34" i="8" s="1"/>
  <c r="Z72" i="8"/>
  <c r="Z62" i="8"/>
  <c r="Z61" i="8"/>
  <c r="Z55" i="8"/>
  <c r="AA230" i="8"/>
  <c r="AA246" i="8"/>
  <c r="AA238" i="8"/>
  <c r="AA476" i="8"/>
  <c r="AA470" i="8"/>
  <c r="AA467" i="8"/>
  <c r="AA533" i="8"/>
  <c r="AA532" i="8"/>
  <c r="AA528" i="8"/>
  <c r="AA525" i="8"/>
  <c r="AA522" i="8"/>
  <c r="AA519" i="8"/>
  <c r="Z516" i="8"/>
  <c r="Z512" i="8" s="1"/>
  <c r="Z515" i="8"/>
  <c r="AA478" i="8"/>
  <c r="AA477" i="8"/>
  <c r="AA475" i="8"/>
  <c r="AA474" i="8"/>
  <c r="AA473" i="8"/>
  <c r="AA472" i="8"/>
  <c r="AA471" i="8"/>
  <c r="AA469" i="8"/>
  <c r="AA468" i="8"/>
  <c r="AA461" i="8"/>
  <c r="AA460" i="8"/>
  <c r="Z190" i="8"/>
  <c r="Y196" i="8"/>
  <c r="Z197" i="8"/>
  <c r="Z198" i="8"/>
  <c r="AA208" i="8"/>
  <c r="AA210" i="8"/>
  <c r="AA231" i="8"/>
  <c r="AA224" i="8"/>
  <c r="AA223" i="8"/>
  <c r="Z213" i="8"/>
  <c r="Z212" i="8"/>
  <c r="AA251" i="8"/>
  <c r="AA255" i="8"/>
  <c r="AA254" i="8"/>
  <c r="Z250" i="8"/>
  <c r="AA555" i="8"/>
  <c r="AA552" i="8"/>
  <c r="AA553" i="8"/>
  <c r="AA550" i="8"/>
  <c r="AA545" i="8"/>
  <c r="AA542" i="8"/>
  <c r="AA548" i="8"/>
  <c r="Z513" i="8"/>
  <c r="U547" i="8"/>
  <c r="U544" i="8"/>
  <c r="U541" i="8"/>
  <c r="U538" i="8"/>
  <c r="Z33" i="8" l="1"/>
  <c r="AA62" i="8"/>
  <c r="Z196" i="8"/>
  <c r="Z189" i="8"/>
  <c r="Z28" i="8"/>
  <c r="U551" i="8"/>
  <c r="AA551" i="8" s="1"/>
  <c r="Z211" i="8"/>
  <c r="Z188" i="8" s="1"/>
  <c r="AA571" i="8"/>
  <c r="AA569" i="8"/>
  <c r="AA566" i="8"/>
  <c r="AA568" i="8"/>
  <c r="Z557" i="8"/>
  <c r="AA559" i="8"/>
  <c r="AA561" i="8"/>
  <c r="AA563" i="8"/>
  <c r="AA565" i="8"/>
  <c r="Z556" i="8"/>
  <c r="AA580" i="8"/>
  <c r="AA581" i="8"/>
  <c r="AA582" i="8"/>
  <c r="AA579" i="8"/>
  <c r="Z24" i="8" l="1"/>
  <c r="AA24" i="8" s="1"/>
  <c r="U535" i="8"/>
  <c r="Z511" i="8"/>
  <c r="AA244" i="8"/>
  <c r="AA236" i="8"/>
  <c r="AA228" i="8"/>
  <c r="Z14" i="8" l="1"/>
  <c r="X516" i="8"/>
  <c r="U515" i="8"/>
  <c r="W515" i="8"/>
  <c r="Y515" i="8"/>
  <c r="U516" i="8"/>
  <c r="V516" i="8"/>
  <c r="W516" i="8"/>
  <c r="Y516" i="8"/>
  <c r="T516" i="8"/>
  <c r="AA516" i="8" l="1"/>
  <c r="T70" i="8" l="1"/>
  <c r="AA70" i="8" s="1"/>
  <c r="U97" i="8" l="1"/>
  <c r="U35" i="8" s="1"/>
  <c r="AA171" i="8"/>
  <c r="AA170" i="8"/>
  <c r="T191" i="8" l="1"/>
  <c r="T194" i="8" l="1"/>
  <c r="T192" i="8" l="1"/>
  <c r="T257" i="8" l="1"/>
  <c r="AA257" i="8" s="1"/>
  <c r="T114" i="8" l="1"/>
  <c r="AA114" i="8" s="1"/>
  <c r="T252" i="8"/>
  <c r="AA252" i="8" s="1"/>
  <c r="T253" i="8"/>
  <c r="AA253" i="8" s="1"/>
  <c r="T136" i="8"/>
  <c r="AA136" i="8" s="1"/>
  <c r="T133" i="8"/>
  <c r="AA133" i="8" s="1"/>
  <c r="T564" i="8"/>
  <c r="AA564" i="8" s="1"/>
  <c r="T527" i="8"/>
  <c r="AA527" i="8" s="1"/>
  <c r="T205" i="8"/>
  <c r="T129" i="8"/>
  <c r="AA129" i="8" s="1"/>
  <c r="T110" i="8"/>
  <c r="AA110" i="8" s="1"/>
  <c r="T125" i="8"/>
  <c r="AA125" i="8" s="1"/>
  <c r="T106" i="8"/>
  <c r="AA106" i="8" s="1"/>
  <c r="T102" i="8"/>
  <c r="AA102" i="8" s="1"/>
  <c r="T65" i="8"/>
  <c r="AA65" i="8" s="1"/>
  <c r="T524" i="8"/>
  <c r="AA524" i="8" s="1"/>
  <c r="T67" i="8"/>
  <c r="AA67" i="8" s="1"/>
  <c r="T558" i="8"/>
  <c r="AA558" i="8" s="1"/>
  <c r="T518" i="8"/>
  <c r="AA518" i="8" s="1"/>
  <c r="T123" i="8"/>
  <c r="AA123" i="8" s="1"/>
  <c r="T98" i="8"/>
  <c r="AA98" i="8" s="1"/>
  <c r="AA74" i="8"/>
  <c r="T260" i="8" l="1"/>
  <c r="AA260" i="8" s="1"/>
  <c r="AA587" i="8" l="1"/>
  <c r="U26" i="8" l="1"/>
  <c r="V26" i="8"/>
  <c r="T26" i="8"/>
  <c r="U198" i="8" l="1"/>
  <c r="V198" i="8"/>
  <c r="W198" i="8"/>
  <c r="X198" i="8"/>
  <c r="Y198" i="8"/>
  <c r="T198" i="8"/>
  <c r="AA198" i="8" s="1"/>
  <c r="V196" i="8"/>
  <c r="U30" i="8"/>
  <c r="V30" i="8"/>
  <c r="W30" i="8"/>
  <c r="T30" i="8"/>
  <c r="U29" i="8"/>
  <c r="U25" i="8" s="1"/>
  <c r="V29" i="8"/>
  <c r="V25" i="8" s="1"/>
  <c r="W25" i="8"/>
  <c r="T29" i="8"/>
  <c r="T25" i="8" s="1"/>
  <c r="AA25" i="8" s="1"/>
  <c r="AA29" i="8" l="1"/>
  <c r="AA196" i="8"/>
  <c r="Y97" i="8" l="1"/>
  <c r="Y35" i="8" s="1"/>
  <c r="T97" i="8"/>
  <c r="X97" i="8"/>
  <c r="X35" i="8" s="1"/>
  <c r="W97" i="8"/>
  <c r="W35" i="8" s="1"/>
  <c r="U572" i="8"/>
  <c r="V572" i="8"/>
  <c r="T572" i="8"/>
  <c r="AA572" i="8" l="1"/>
  <c r="T35" i="8"/>
  <c r="V97" i="8"/>
  <c r="V35" i="8" s="1"/>
  <c r="T242" i="8"/>
  <c r="T234" i="8"/>
  <c r="T226" i="8"/>
  <c r="T218" i="8"/>
  <c r="AA218" i="8" s="1"/>
  <c r="U94" i="8"/>
  <c r="AA35" i="8" l="1"/>
  <c r="AA242" i="8"/>
  <c r="AA97" i="8"/>
  <c r="AA226" i="8"/>
  <c r="AA234" i="8"/>
  <c r="AA206" i="8"/>
  <c r="AA204" i="8"/>
  <c r="AA202" i="8"/>
  <c r="AA200" i="8"/>
  <c r="T214" i="8"/>
  <c r="T124" i="8"/>
  <c r="T63" i="8"/>
  <c r="AA63" i="8" s="1"/>
  <c r="AA205" i="8"/>
  <c r="T560" i="8"/>
  <c r="AA560" i="8" s="1"/>
  <c r="T562" i="8"/>
  <c r="AA562" i="8" s="1"/>
  <c r="T521" i="8"/>
  <c r="AA521" i="8" s="1"/>
  <c r="T459" i="8"/>
  <c r="AA459" i="8" s="1"/>
  <c r="T127" i="8"/>
  <c r="AA127" i="8" s="1"/>
  <c r="AA80" i="8"/>
  <c r="T158" i="8"/>
  <c r="T201" i="8"/>
  <c r="AA201" i="8" s="1"/>
  <c r="Y573" i="8"/>
  <c r="X573" i="8"/>
  <c r="W573" i="8"/>
  <c r="V573" i="8"/>
  <c r="U573" i="8"/>
  <c r="T573" i="8"/>
  <c r="AA573" i="8"/>
  <c r="AA570" i="8"/>
  <c r="Y557" i="8"/>
  <c r="X557" i="8"/>
  <c r="W557" i="8"/>
  <c r="V557" i="8"/>
  <c r="V514" i="8" s="1"/>
  <c r="U557" i="8"/>
  <c r="U514" i="8" s="1"/>
  <c r="Y556" i="8"/>
  <c r="X556" i="8"/>
  <c r="W556" i="8"/>
  <c r="V556" i="8"/>
  <c r="U556" i="8"/>
  <c r="U511" i="8" s="1"/>
  <c r="AA549" i="8"/>
  <c r="T547" i="8"/>
  <c r="Y546" i="8"/>
  <c r="W546" i="8"/>
  <c r="V546" i="8"/>
  <c r="U546" i="8"/>
  <c r="T546" i="8"/>
  <c r="T544" i="8"/>
  <c r="Y543" i="8"/>
  <c r="W543" i="8"/>
  <c r="V543" i="8"/>
  <c r="U543" i="8"/>
  <c r="T543" i="8"/>
  <c r="T541" i="8"/>
  <c r="Y540" i="8"/>
  <c r="W540" i="8"/>
  <c r="V540" i="8"/>
  <c r="U540" i="8"/>
  <c r="T540" i="8"/>
  <c r="T538" i="8"/>
  <c r="Y537" i="8"/>
  <c r="X537" i="8"/>
  <c r="W537" i="8"/>
  <c r="V537" i="8"/>
  <c r="U537" i="8"/>
  <c r="T537" i="8"/>
  <c r="Y536" i="8"/>
  <c r="Y513" i="8" s="1"/>
  <c r="X536" i="8"/>
  <c r="X513" i="8" s="1"/>
  <c r="W536" i="8"/>
  <c r="W513" i="8" s="1"/>
  <c r="V536" i="8"/>
  <c r="V513" i="8" s="1"/>
  <c r="U513" i="8"/>
  <c r="T536" i="8"/>
  <c r="Y512" i="8"/>
  <c r="X512" i="8"/>
  <c r="W512" i="8"/>
  <c r="V512" i="8"/>
  <c r="U512" i="8"/>
  <c r="AA458" i="8"/>
  <c r="AA457" i="8"/>
  <c r="AA456" i="8"/>
  <c r="AA448" i="8"/>
  <c r="AA447" i="8"/>
  <c r="AA445" i="8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AA422" i="8"/>
  <c r="AA421" i="8"/>
  <c r="T420" i="8"/>
  <c r="AA420" i="8" s="1"/>
  <c r="AA419" i="8"/>
  <c r="AA418" i="8"/>
  <c r="AA417" i="8"/>
  <c r="AA416" i="8"/>
  <c r="AA415" i="8"/>
  <c r="AA414" i="8"/>
  <c r="T413" i="8"/>
  <c r="AA413" i="8" s="1"/>
  <c r="AA412" i="8"/>
  <c r="AA411" i="8"/>
  <c r="AA410" i="8"/>
  <c r="AA409" i="8"/>
  <c r="AA408" i="8"/>
  <c r="AA407" i="8"/>
  <c r="T406" i="8"/>
  <c r="AA406" i="8" s="1"/>
  <c r="AA405" i="8"/>
  <c r="AA404" i="8"/>
  <c r="AA403" i="8"/>
  <c r="AA402" i="8"/>
  <c r="AA401" i="8"/>
  <c r="AA400" i="8"/>
  <c r="T399" i="8"/>
  <c r="AA399" i="8" s="1"/>
  <c r="AA398" i="8"/>
  <c r="AA397" i="8"/>
  <c r="AA396" i="8"/>
  <c r="AA395" i="8"/>
  <c r="AA394" i="8"/>
  <c r="AA393" i="8"/>
  <c r="T392" i="8"/>
  <c r="AA392" i="8" s="1"/>
  <c r="AA391" i="8"/>
  <c r="AA390" i="8"/>
  <c r="AA389" i="8"/>
  <c r="AA388" i="8"/>
  <c r="AA387" i="8"/>
  <c r="AA386" i="8"/>
  <c r="T385" i="8"/>
  <c r="AA385" i="8" s="1"/>
  <c r="AA384" i="8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T365" i="8"/>
  <c r="AA365" i="8" s="1"/>
  <c r="AA364" i="8"/>
  <c r="AA363" i="8"/>
  <c r="T354" i="8"/>
  <c r="AA354" i="8" s="1"/>
  <c r="T352" i="8"/>
  <c r="AA352" i="8" s="1"/>
  <c r="AA350" i="8"/>
  <c r="AA349" i="8"/>
  <c r="AA348" i="8"/>
  <c r="AA347" i="8"/>
  <c r="T346" i="8"/>
  <c r="AA346" i="8" s="1"/>
  <c r="AA345" i="8"/>
  <c r="AA344" i="8"/>
  <c r="AA343" i="8"/>
  <c r="AA342" i="8"/>
  <c r="T341" i="8"/>
  <c r="AA341" i="8" s="1"/>
  <c r="AA340" i="8"/>
  <c r="AA339" i="8"/>
  <c r="AA338" i="8"/>
  <c r="AA337" i="8"/>
  <c r="T336" i="8"/>
  <c r="AA335" i="8"/>
  <c r="AA334" i="8"/>
  <c r="AA333" i="8"/>
  <c r="AA332" i="8"/>
  <c r="T331" i="8"/>
  <c r="AA331" i="8" s="1"/>
  <c r="AA330" i="8"/>
  <c r="AA329" i="8"/>
  <c r="AA328" i="8"/>
  <c r="AA327" i="8"/>
  <c r="T326" i="8"/>
  <c r="AA326" i="8" s="1"/>
  <c r="AA325" i="8"/>
  <c r="AA324" i="8"/>
  <c r="AA323" i="8"/>
  <c r="AA322" i="8"/>
  <c r="AA321" i="8"/>
  <c r="T320" i="8"/>
  <c r="AA320" i="8" s="1"/>
  <c r="AA319" i="8"/>
  <c r="AA318" i="8"/>
  <c r="T311" i="8"/>
  <c r="AA311" i="8" s="1"/>
  <c r="T309" i="8"/>
  <c r="AA309" i="8" s="1"/>
  <c r="AA307" i="8"/>
  <c r="AA306" i="8"/>
  <c r="AA305" i="8"/>
  <c r="AA304" i="8"/>
  <c r="AA303" i="8"/>
  <c r="T302" i="8"/>
  <c r="AA302" i="8" s="1"/>
  <c r="AA301" i="8"/>
  <c r="AA300" i="8"/>
  <c r="AA299" i="8"/>
  <c r="AA298" i="8"/>
  <c r="AA297" i="8"/>
  <c r="AA296" i="8"/>
  <c r="T295" i="8"/>
  <c r="AA295" i="8" s="1"/>
  <c r="AA294" i="8"/>
  <c r="AA293" i="8"/>
  <c r="AA292" i="8"/>
  <c r="AA291" i="8"/>
  <c r="AA290" i="8"/>
  <c r="T289" i="8"/>
  <c r="AA289" i="8" s="1"/>
  <c r="AA288" i="8"/>
  <c r="AA287" i="8"/>
  <c r="AA286" i="8"/>
  <c r="AA285" i="8"/>
  <c r="AA284" i="8"/>
  <c r="T283" i="8"/>
  <c r="AA282" i="8"/>
  <c r="AA281" i="8"/>
  <c r="AA280" i="8"/>
  <c r="AA279" i="8"/>
  <c r="T278" i="8"/>
  <c r="AA278" i="8" s="1"/>
  <c r="AA277" i="8"/>
  <c r="AD276" i="8"/>
  <c r="AA276" i="8"/>
  <c r="AD275" i="8"/>
  <c r="AA275" i="8"/>
  <c r="AD274" i="8"/>
  <c r="AA274" i="8"/>
  <c r="AD273" i="8"/>
  <c r="T273" i="8"/>
  <c r="AA273" i="8" s="1"/>
  <c r="T262" i="8"/>
  <c r="AA262" i="8" s="1"/>
  <c r="Y250" i="8"/>
  <c r="Y211" i="8" s="1"/>
  <c r="X250" i="8"/>
  <c r="X211" i="8" s="1"/>
  <c r="W250" i="8"/>
  <c r="W211" i="8" s="1"/>
  <c r="V250" i="8"/>
  <c r="V211" i="8" s="1"/>
  <c r="U250" i="8"/>
  <c r="V189" i="8"/>
  <c r="T216" i="8"/>
  <c r="T215" i="8"/>
  <c r="Y213" i="8"/>
  <c r="X213" i="8"/>
  <c r="W213" i="8"/>
  <c r="V213" i="8"/>
  <c r="U213" i="8"/>
  <c r="Y212" i="8"/>
  <c r="X212" i="8"/>
  <c r="W212" i="8"/>
  <c r="V212" i="8"/>
  <c r="U212" i="8"/>
  <c r="AA203" i="8"/>
  <c r="AA199" i="8"/>
  <c r="Y197" i="8"/>
  <c r="X197" i="8"/>
  <c r="W197" i="8"/>
  <c r="V197" i="8"/>
  <c r="U197" i="8"/>
  <c r="Y158" i="8"/>
  <c r="W158" i="8"/>
  <c r="V158" i="8"/>
  <c r="T155" i="8"/>
  <c r="AA155" i="8" s="1"/>
  <c r="Y122" i="8"/>
  <c r="X122" i="8"/>
  <c r="W122" i="8"/>
  <c r="V122" i="8"/>
  <c r="U122" i="8"/>
  <c r="Y121" i="8"/>
  <c r="X121" i="8"/>
  <c r="W121" i="8"/>
  <c r="V121" i="8"/>
  <c r="U121" i="8"/>
  <c r="Y96" i="8"/>
  <c r="X96" i="8"/>
  <c r="W96" i="8"/>
  <c r="V96" i="8"/>
  <c r="U96" i="8"/>
  <c r="T96" i="8"/>
  <c r="Y95" i="8"/>
  <c r="X95" i="8"/>
  <c r="W95" i="8"/>
  <c r="V95" i="8"/>
  <c r="U95" i="8"/>
  <c r="T95" i="8"/>
  <c r="Y94" i="8"/>
  <c r="X94" i="8"/>
  <c r="W94" i="8"/>
  <c r="V94" i="8"/>
  <c r="Y73" i="8"/>
  <c r="Y34" i="8" s="1"/>
  <c r="X73" i="8"/>
  <c r="X34" i="8" s="1"/>
  <c r="W73" i="8"/>
  <c r="W34" i="8" s="1"/>
  <c r="V73" i="8"/>
  <c r="V34" i="8" s="1"/>
  <c r="U73" i="8"/>
  <c r="U34" i="8" s="1"/>
  <c r="T73" i="8"/>
  <c r="T34" i="8" s="1"/>
  <c r="Y72" i="8"/>
  <c r="X72" i="8"/>
  <c r="W72" i="8"/>
  <c r="U72" i="8"/>
  <c r="AA69" i="8"/>
  <c r="Y62" i="8"/>
  <c r="Y33" i="8" s="1"/>
  <c r="X62" i="8"/>
  <c r="X33" i="8" s="1"/>
  <c r="W62" i="8"/>
  <c r="W33" i="8" s="1"/>
  <c r="V62" i="8"/>
  <c r="V33" i="8" s="1"/>
  <c r="U62" i="8"/>
  <c r="U33" i="8" s="1"/>
  <c r="T62" i="8"/>
  <c r="T33" i="8" s="1"/>
  <c r="Y61" i="8"/>
  <c r="X61" i="8"/>
  <c r="W61" i="8"/>
  <c r="V61" i="8"/>
  <c r="U61" i="8"/>
  <c r="AA58" i="8"/>
  <c r="AA57" i="8"/>
  <c r="AA56" i="8"/>
  <c r="Y55" i="8"/>
  <c r="X55" i="8"/>
  <c r="W55" i="8"/>
  <c r="V55" i="8"/>
  <c r="U55" i="8"/>
  <c r="AA30" i="8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V18" i="8" s="1"/>
  <c r="W18" i="8" s="1"/>
  <c r="X18" i="8" s="1"/>
  <c r="Y18" i="8" s="1"/>
  <c r="T17" i="8"/>
  <c r="U17" i="8" s="1"/>
  <c r="V17" i="8" s="1"/>
  <c r="T16" i="8"/>
  <c r="U16" i="8" s="1"/>
  <c r="V16" i="8" s="1"/>
  <c r="W16" i="8" s="1"/>
  <c r="X16" i="8" s="1"/>
  <c r="Y16" i="8" s="1"/>
  <c r="T15" i="8"/>
  <c r="U15" i="8" s="1"/>
  <c r="Y28" i="8" l="1"/>
  <c r="X28" i="8"/>
  <c r="W188" i="8"/>
  <c r="V28" i="8"/>
  <c r="AA283" i="8"/>
  <c r="AA264" i="8"/>
  <c r="X188" i="8"/>
  <c r="Y188" i="8"/>
  <c r="W28" i="8"/>
  <c r="U28" i="8"/>
  <c r="T308" i="8"/>
  <c r="AA308" i="8" s="1"/>
  <c r="AA32" i="8"/>
  <c r="AA556" i="8"/>
  <c r="AA538" i="8"/>
  <c r="AA214" i="8"/>
  <c r="AA27" i="8"/>
  <c r="AA95" i="8"/>
  <c r="T189" i="8"/>
  <c r="AA189" i="8" s="1"/>
  <c r="AA216" i="8"/>
  <c r="AA541" i="8"/>
  <c r="AA158" i="8"/>
  <c r="AA544" i="8"/>
  <c r="U211" i="8"/>
  <c r="U188" i="8" s="1"/>
  <c r="AA547" i="8"/>
  <c r="AA259" i="8"/>
  <c r="T122" i="8"/>
  <c r="T515" i="8"/>
  <c r="AA515" i="8" s="1"/>
  <c r="T513" i="8"/>
  <c r="AA513" i="8" s="1"/>
  <c r="AA536" i="8"/>
  <c r="U190" i="8"/>
  <c r="T351" i="8"/>
  <c r="AA351" i="8" s="1"/>
  <c r="V190" i="8"/>
  <c r="T190" i="8"/>
  <c r="V188" i="8"/>
  <c r="T557" i="8"/>
  <c r="AA557" i="8" s="1"/>
  <c r="T534" i="8"/>
  <c r="X511" i="8"/>
  <c r="AA540" i="8"/>
  <c r="AA546" i="8"/>
  <c r="V534" i="8"/>
  <c r="Y534" i="8"/>
  <c r="AA537" i="8"/>
  <c r="AA543" i="8"/>
  <c r="X534" i="8"/>
  <c r="T556" i="8"/>
  <c r="W534" i="8"/>
  <c r="T72" i="8"/>
  <c r="AA72" i="8" s="1"/>
  <c r="T535" i="8"/>
  <c r="AA55" i="8"/>
  <c r="U534" i="8"/>
  <c r="T213" i="8"/>
  <c r="AA213" i="8" s="1"/>
  <c r="T121" i="8"/>
  <c r="AA121" i="8" s="1"/>
  <c r="AD277" i="8"/>
  <c r="AA336" i="8"/>
  <c r="T446" i="8"/>
  <c r="AA446" i="8" s="1"/>
  <c r="V535" i="8"/>
  <c r="V511" i="8" s="1"/>
  <c r="T197" i="8"/>
  <c r="AA197" i="8" s="1"/>
  <c r="T212" i="8"/>
  <c r="AA212" i="8" s="1"/>
  <c r="Y535" i="8"/>
  <c r="Y511" i="8" s="1"/>
  <c r="W535" i="8"/>
  <c r="W511" i="8" s="1"/>
  <c r="T94" i="8"/>
  <c r="AA94" i="8" s="1"/>
  <c r="T250" i="8"/>
  <c r="T61" i="8"/>
  <c r="AA61" i="8" s="1"/>
  <c r="W17" i="8"/>
  <c r="X17" i="8" s="1"/>
  <c r="Y17" i="8" s="1"/>
  <c r="V15" i="8"/>
  <c r="W15" i="8" s="1"/>
  <c r="X15" i="8" s="1"/>
  <c r="Y15" i="8" s="1"/>
  <c r="W20" i="8"/>
  <c r="X20" i="8" s="1"/>
  <c r="Y20" i="8" s="1"/>
  <c r="AA16" i="8"/>
  <c r="AA19" i="8"/>
  <c r="AA18" i="8"/>
  <c r="AA21" i="8"/>
  <c r="Y191" i="8" l="1"/>
  <c r="X191" i="8"/>
  <c r="W191" i="8"/>
  <c r="T261" i="8"/>
  <c r="V191" i="8"/>
  <c r="Z191" i="8"/>
  <c r="AA191" i="8" s="1"/>
  <c r="V14" i="8"/>
  <c r="U191" i="8"/>
  <c r="AA190" i="8"/>
  <c r="U14" i="8"/>
  <c r="X14" i="8"/>
  <c r="Y14" i="8"/>
  <c r="W14" i="8"/>
  <c r="AA535" i="8"/>
  <c r="T211" i="8"/>
  <c r="AA211" i="8" s="1"/>
  <c r="AA250" i="8"/>
  <c r="T28" i="8"/>
  <c r="AA28" i="8" s="1"/>
  <c r="T514" i="8"/>
  <c r="AA514" i="8" s="1"/>
  <c r="AA534" i="8"/>
  <c r="T511" i="8"/>
  <c r="AA511" i="8" s="1"/>
  <c r="T512" i="8"/>
  <c r="AA512" i="8" s="1"/>
  <c r="AA17" i="8"/>
  <c r="AA20" i="8"/>
  <c r="AA15" i="8"/>
  <c r="AA261" i="8" l="1"/>
  <c r="T258" i="8"/>
  <c r="T188" i="8" s="1"/>
  <c r="AA188" i="8" s="1"/>
  <c r="AA258" i="8" l="1"/>
  <c r="T14" i="8" l="1"/>
  <c r="AA14" i="8" s="1"/>
</calcChain>
</file>

<file path=xl/sharedStrings.xml><?xml version="1.0" encoding="utf-8"?>
<sst xmlns="http://schemas.openxmlformats.org/spreadsheetml/2006/main" count="6082" uniqueCount="380">
  <si>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</si>
  <si>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</si>
  <si>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</si>
  <si>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</si>
  <si>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</si>
  <si>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</si>
  <si>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</si>
  <si>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</si>
  <si>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</si>
  <si>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</si>
  <si>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</si>
  <si>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</si>
  <si>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</si>
  <si>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</si>
  <si>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</si>
  <si>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</si>
  <si>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</si>
  <si>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</si>
  <si>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</si>
  <si>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</si>
  <si>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</si>
  <si>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</si>
  <si>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</si>
  <si>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</si>
  <si>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</si>
  <si>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</si>
  <si>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</si>
  <si>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</si>
  <si>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</si>
  <si>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</si>
  <si>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</si>
  <si>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</si>
  <si>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</si>
  <si>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</si>
  <si>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</si>
  <si>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</si>
  <si>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</si>
  <si>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</si>
  <si>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</si>
  <si>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</si>
  <si>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</si>
  <si>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</si>
  <si>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</si>
  <si>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</si>
  <si>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</si>
  <si>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</si>
  <si>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</si>
  <si>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</si>
  <si>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</si>
  <si>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</si>
  <si>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</si>
  <si>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</si>
  <si>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</si>
  <si>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</si>
  <si>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</si>
  <si>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</si>
  <si>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</si>
  <si>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</si>
  <si>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</si>
  <si>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</si>
  <si>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</si>
  <si>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</si>
  <si>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</si>
  <si>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</si>
  <si>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</si>
  <si>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</si>
  <si>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</si>
  <si>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</si>
  <si>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</si>
  <si>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</si>
  <si>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</si>
  <si>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</si>
  <si>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</si>
  <si>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</si>
  <si>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</si>
  <si>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</si>
  <si>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</si>
  <si>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</si>
  <si>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</si>
  <si>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</si>
  <si>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</si>
  <si>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</si>
  <si>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</si>
  <si>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</si>
  <si>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</si>
  <si>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</si>
  <si>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</si>
  <si>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</si>
  <si>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</si>
  <si>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</si>
  <si>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</si>
  <si>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</si>
  <si>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</si>
  <si>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</si>
  <si>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</si>
  <si>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</si>
  <si>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</si>
  <si>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</si>
  <si>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</si>
  <si>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</si>
  <si>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</si>
  <si>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</si>
  <si>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</si>
  <si>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</si>
  <si>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</si>
  <si>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</si>
  <si>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</si>
  <si>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</si>
  <si>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</si>
  <si>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</si>
  <si>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</si>
  <si>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</si>
  <si>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</si>
  <si>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</si>
  <si>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</si>
  <si>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</si>
  <si>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</si>
  <si>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</si>
  <si>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</si>
  <si>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</si>
  <si>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</si>
  <si>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</si>
  <si>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</si>
  <si>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</si>
  <si>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</si>
  <si>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</si>
  <si>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</si>
  <si>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</si>
  <si>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</si>
  <si>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</si>
  <si>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</si>
  <si>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</si>
  <si>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</si>
  <si>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</si>
  <si>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</si>
  <si>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</si>
  <si>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</si>
  <si>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</si>
  <si>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</si>
  <si>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</si>
  <si>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</si>
  <si>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</si>
  <si>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</si>
  <si>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</si>
  <si>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</si>
  <si>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</si>
  <si>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</si>
  <si>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</si>
  <si>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</si>
  <si>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</si>
  <si>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</si>
  <si>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</si>
  <si>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</si>
  <si>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</si>
  <si>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</si>
  <si>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</si>
  <si>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</si>
  <si>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</si>
  <si>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</si>
  <si>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</si>
  <si>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</si>
  <si>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</si>
  <si>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</si>
  <si>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</si>
  <si>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</si>
  <si>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</si>
  <si>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</si>
  <si>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</si>
  <si>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</si>
  <si>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</si>
  <si>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</si>
  <si>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</si>
  <si>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</si>
  <si>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</si>
  <si>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</si>
  <si>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</si>
  <si>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</si>
  <si>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</si>
  <si>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</si>
  <si>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</si>
  <si>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</si>
  <si>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</si>
  <si>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</si>
  <si>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</si>
  <si>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</si>
  <si>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</si>
  <si>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</si>
  <si>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</si>
  <si>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</si>
  <si>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</si>
  <si>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</si>
  <si>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</si>
  <si>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</si>
  <si>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</si>
  <si>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</si>
  <si>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</si>
  <si>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</si>
  <si>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</si>
  <si>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</si>
  <si>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</si>
  <si>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</si>
  <si>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</si>
  <si>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</si>
  <si>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</si>
  <si>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</si>
  <si>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</si>
  <si>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</si>
  <si>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</si>
  <si>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</si>
  <si>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</si>
  <si>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</si>
  <si>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</si>
  <si>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</si>
  <si>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</si>
  <si>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</si>
  <si>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</si>
  <si>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</si>
  <si>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</si>
  <si>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</si>
  <si>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</si>
  <si>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</si>
  <si>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</si>
  <si>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</si>
  <si>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</si>
  <si>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</si>
  <si>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</si>
  <si>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</si>
  <si>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t xml:space="preserve"> тыс. руб.</t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</si>
  <si>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</si>
  <si>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</si>
  <si>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</si>
  <si>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</si>
  <si>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</si>
  <si>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</si>
  <si>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</si>
  <si>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</si>
  <si>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</si>
  <si>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</si>
  <si>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</si>
  <si>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</si>
  <si>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</si>
  <si>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</si>
  <si>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</si>
  <si>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</si>
  <si>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</si>
  <si>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</si>
  <si>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</si>
  <si>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</si>
  <si>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</si>
  <si>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</si>
  <si>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</si>
  <si>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</si>
  <si>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</si>
  <si>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</si>
  <si>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</si>
  <si>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</si>
  <si>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</si>
  <si>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</si>
  <si>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</si>
  <si>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</si>
  <si>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</si>
  <si>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</si>
  <si>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</si>
  <si>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</si>
  <si>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</si>
  <si>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</si>
  <si>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</si>
  <si>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</si>
  <si>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</si>
  <si>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</si>
  <si>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</si>
  <si>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</si>
  <si>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</si>
  <si>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</si>
  <si>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</si>
  <si>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</si>
  <si>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</si>
  <si>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</si>
  <si>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</si>
  <si>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</si>
  <si>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</si>
  <si>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</si>
  <si>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</si>
  <si>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</si>
  <si>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</si>
  <si>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</si>
  <si>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</si>
  <si>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</si>
  <si>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</si>
  <si>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</si>
  <si>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</si>
  <si>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</si>
  <si>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</si>
  <si>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</si>
  <si>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</si>
  <si>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</si>
  <si>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</si>
  <si>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</si>
  <si>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</si>
  <si>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</si>
  <si>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</si>
  <si>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</si>
  <si>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</si>
  <si>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</si>
  <si>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</si>
  <si>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</si>
  <si>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</si>
  <si>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</si>
  <si>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</si>
  <si>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</si>
  <si>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</si>
  <si>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</si>
  <si>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</si>
  <si>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</si>
  <si>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</si>
  <si>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</si>
  <si>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</si>
  <si>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</si>
  <si>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</si>
  <si>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</si>
  <si>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</si>
  <si>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</si>
  <si>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</si>
  <si>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</si>
  <si>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</si>
  <si>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</si>
  <si>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</si>
  <si>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</si>
  <si>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</si>
  <si>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</si>
  <si>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</si>
  <si>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</si>
  <si>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</si>
  <si>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</si>
  <si>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</si>
  <si>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</si>
  <si>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</si>
  <si>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</si>
  <si>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</si>
  <si>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</si>
  <si>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r>
      <rPr>
        <b/>
        <sz val="12"/>
        <rFont val="Times New Roman"/>
        <family val="1"/>
        <charset val="204"/>
      </rPr>
      <t xml:space="preserve">Показатель 2      </t>
    </r>
    <r>
      <rPr>
        <sz val="12"/>
        <rFont val="Times New Roman"/>
        <family val="1"/>
        <charset val="204"/>
      </rPr>
      <t xml:space="preserve">                                  
«Количество обустроенных площадок для сбора твердых коммунальных отходов»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</si>
  <si>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площадок» </t>
    </r>
  </si>
  <si>
    <r>
      <rPr>
        <b/>
        <sz val="12"/>
        <rFont val="Times New Roman"/>
        <family val="1"/>
        <charset val="204"/>
      </rPr>
      <t>Мероприятие 1.18</t>
    </r>
    <r>
      <rPr>
        <sz val="12"/>
        <rFont val="Times New Roman"/>
        <family val="1"/>
        <charset val="204"/>
      </rPr>
      <t xml:space="preserve">
«Обустройство площадок для выгула домашних животных»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</si>
  <si>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</si>
  <si>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</si>
  <si>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</si>
  <si>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3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</si>
  <si>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</si>
  <si>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</si>
  <si>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t xml:space="preserve">Показатель 6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</si>
  <si>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</si>
  <si>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</si>
  <si>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</si>
  <si>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</si>
  <si>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</si>
  <si>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Показатель 12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</si>
  <si>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содержания сквера на ул. Можайского» 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</si>
  <si>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</si>
  <si>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</si>
  <si>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разработанных комплектов проектной и сметной документации»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</si>
  <si>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похоронных процессий»</t>
    </r>
  </si>
  <si>
    <r>
      <t xml:space="preserve">Мероприятие 4.04
</t>
    </r>
    <r>
      <rPr>
        <sz val="12"/>
        <rFont val="Times New Roman"/>
        <family val="1"/>
        <charset val="204"/>
      </rPr>
      <t>«Организация и проведение похоронных процессий с участием представителей органов власти»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</si>
  <si>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</si>
  <si>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</si>
  <si>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обслуживаемых детских площадок на территории города Твери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</si>
  <si>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 xml:space="preserve">Показатель 3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комплектов проектной и сметной документации»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</si>
  <si>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</si>
  <si>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</si>
  <si>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</si>
  <si>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</si>
  <si>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финансов)»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</si>
  <si>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финансов)»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</si>
  <si>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</si>
  <si>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территорий общего пользования, благоустроенных за счет субсидии из областного бюджета на обустройство мест массового отдыха населения (городских парков)»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</si>
  <si>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</si>
  <si>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</si>
  <si>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изготовленных комплектов проектно-сметной документации по благоустройству общественных территорий на территории города» </t>
    </r>
  </si>
  <si>
    <t>Еди-ница измере-ния</t>
  </si>
  <si>
    <t>А</t>
  </si>
  <si>
    <t>Приложение  1
к постановлению Администрации города Твери
от 19.04.2024 года №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</si>
</sst>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1"/>
  <sheetViews>
    <sheetView tabSelected="1" view="pageBreakPreview" zoomScale="90" zoomScaleNormal="90" zoomScaleSheetLayoutView="9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78.5703125" style="7" customWidth="1"/>
    <col min="19" max="19" width="7.5703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1.140625" style="8" customWidth="1"/>
    <col min="28" max="28" width="6.42578125" style="7" customWidth="1"/>
    <col min="29" max="29" width="12.85546875" style="90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9" t="s">
        <v>379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89"/>
      <c r="AD1" s="89"/>
      <c r="AE1" s="89"/>
    </row>
    <row r="2" spans="1:35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89"/>
      <c r="AD2" s="89"/>
      <c r="AE2" s="89"/>
    </row>
    <row r="3" spans="1:35" ht="13.9" customHeight="1" x14ac:dyDescent="0.25">
      <c r="A3" s="169" t="s">
        <v>282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89"/>
      <c r="AD3" s="89"/>
      <c r="AE3" s="89"/>
    </row>
    <row r="4" spans="1:35" x14ac:dyDescent="0.25">
      <c r="A4" s="169" t="s">
        <v>26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9"/>
    </row>
    <row r="5" spans="1:35" x14ac:dyDescent="0.25">
      <c r="A5" s="169" t="s">
        <v>46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9"/>
    </row>
    <row r="6" spans="1:35" x14ac:dyDescent="0.25">
      <c r="A6" s="169" t="s">
        <v>254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</row>
    <row r="7" spans="1:35" ht="18.75" x14ac:dyDescent="0.25">
      <c r="A7" s="170" t="s">
        <v>12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9"/>
      <c r="AD7" s="10"/>
    </row>
    <row r="8" spans="1:35" ht="18.75" x14ac:dyDescent="0.25">
      <c r="A8" s="170" t="s">
        <v>253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</row>
    <row r="9" spans="1:35" x14ac:dyDescent="0.25">
      <c r="A9" s="171" t="s">
        <v>55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</row>
    <row r="10" spans="1:35" ht="9" customHeight="1" x14ac:dyDescent="0.25">
      <c r="V10" s="11"/>
    </row>
    <row r="11" spans="1:35" s="84" customFormat="1" ht="24.75" customHeight="1" x14ac:dyDescent="0.25">
      <c r="A11" s="172" t="s">
        <v>16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 t="s">
        <v>13</v>
      </c>
      <c r="S11" s="173" t="s">
        <v>377</v>
      </c>
      <c r="T11" s="173" t="s">
        <v>14</v>
      </c>
      <c r="U11" s="173"/>
      <c r="V11" s="173"/>
      <c r="W11" s="173"/>
      <c r="X11" s="173"/>
      <c r="Y11" s="173"/>
      <c r="Z11" s="173"/>
      <c r="AA11" s="172" t="s">
        <v>10</v>
      </c>
      <c r="AB11" s="172"/>
      <c r="AC11" s="9"/>
      <c r="AD11" s="9"/>
      <c r="AE11" s="9"/>
      <c r="AF11" s="9"/>
      <c r="AG11" s="9"/>
      <c r="AH11" s="9"/>
    </row>
    <row r="12" spans="1:35" s="84" customFormat="1" ht="49.5" customHeight="1" x14ac:dyDescent="0.25">
      <c r="A12" s="172" t="s">
        <v>29</v>
      </c>
      <c r="B12" s="172"/>
      <c r="C12" s="172"/>
      <c r="D12" s="172" t="s">
        <v>27</v>
      </c>
      <c r="E12" s="172"/>
      <c r="F12" s="172" t="s">
        <v>28</v>
      </c>
      <c r="G12" s="172"/>
      <c r="H12" s="172" t="s">
        <v>17</v>
      </c>
      <c r="I12" s="172"/>
      <c r="J12" s="172"/>
      <c r="K12" s="172"/>
      <c r="L12" s="172"/>
      <c r="M12" s="172"/>
      <c r="N12" s="172"/>
      <c r="O12" s="172"/>
      <c r="P12" s="172"/>
      <c r="Q12" s="172"/>
      <c r="R12" s="173"/>
      <c r="S12" s="173"/>
      <c r="T12" s="148">
        <v>2018</v>
      </c>
      <c r="U12" s="148">
        <v>2019</v>
      </c>
      <c r="V12" s="148">
        <v>2020</v>
      </c>
      <c r="W12" s="148">
        <v>2021</v>
      </c>
      <c r="X12" s="148">
        <v>2022</v>
      </c>
      <c r="Y12" s="148">
        <v>2023</v>
      </c>
      <c r="Z12" s="148">
        <v>2024</v>
      </c>
      <c r="AA12" s="136" t="s">
        <v>11</v>
      </c>
      <c r="AB12" s="136" t="s">
        <v>30</v>
      </c>
      <c r="AC12" s="12"/>
      <c r="AD12" s="13"/>
      <c r="AE12" s="13"/>
      <c r="AF12" s="14"/>
      <c r="AG12" s="14"/>
      <c r="AH12" s="14"/>
    </row>
    <row r="13" spans="1:35" s="84" customFormat="1" ht="15.75" customHeight="1" x14ac:dyDescent="0.25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5">
        <v>9</v>
      </c>
      <c r="J13" s="15">
        <v>10</v>
      </c>
      <c r="K13" s="15">
        <v>11</v>
      </c>
      <c r="L13" s="15">
        <v>12</v>
      </c>
      <c r="M13" s="15">
        <v>13</v>
      </c>
      <c r="N13" s="15">
        <v>14</v>
      </c>
      <c r="O13" s="15">
        <v>15</v>
      </c>
      <c r="P13" s="15">
        <v>16</v>
      </c>
      <c r="Q13" s="15">
        <v>17</v>
      </c>
      <c r="R13" s="15">
        <v>18</v>
      </c>
      <c r="S13" s="15">
        <v>19</v>
      </c>
      <c r="T13" s="15">
        <v>20</v>
      </c>
      <c r="U13" s="15">
        <v>21</v>
      </c>
      <c r="V13" s="15">
        <v>22</v>
      </c>
      <c r="W13" s="15">
        <v>23</v>
      </c>
      <c r="X13" s="15">
        <v>24</v>
      </c>
      <c r="Y13" s="15">
        <v>25</v>
      </c>
      <c r="Z13" s="15">
        <v>26</v>
      </c>
      <c r="AA13" s="15">
        <v>27</v>
      </c>
      <c r="AB13" s="15">
        <v>28</v>
      </c>
      <c r="AC13" s="16"/>
      <c r="AD13" s="17"/>
      <c r="AE13" s="18"/>
      <c r="AF13" s="14"/>
      <c r="AG13" s="14"/>
      <c r="AH13" s="14"/>
    </row>
    <row r="14" spans="1:35" s="8" customFormat="1" ht="31.5" x14ac:dyDescent="0.25">
      <c r="A14" s="19"/>
      <c r="B14" s="19"/>
      <c r="C14" s="19"/>
      <c r="D14" s="19"/>
      <c r="E14" s="19"/>
      <c r="F14" s="19"/>
      <c r="G14" s="19"/>
      <c r="H14" s="19" t="s">
        <v>19</v>
      </c>
      <c r="I14" s="19" t="s">
        <v>24</v>
      </c>
      <c r="J14" s="19" t="s">
        <v>18</v>
      </c>
      <c r="K14" s="19" t="s">
        <v>18</v>
      </c>
      <c r="L14" s="19" t="s">
        <v>18</v>
      </c>
      <c r="M14" s="19" t="s">
        <v>18</v>
      </c>
      <c r="N14" s="19" t="s">
        <v>18</v>
      </c>
      <c r="O14" s="19" t="s">
        <v>18</v>
      </c>
      <c r="P14" s="19" t="s">
        <v>18</v>
      </c>
      <c r="Q14" s="19" t="s">
        <v>18</v>
      </c>
      <c r="R14" s="20" t="s">
        <v>15</v>
      </c>
      <c r="S14" s="21" t="s">
        <v>0</v>
      </c>
      <c r="T14" s="22">
        <f t="shared" ref="T14:Z14" si="0">T28+T188+T511+T572</f>
        <v>505632.4</v>
      </c>
      <c r="U14" s="22">
        <f t="shared" si="0"/>
        <v>641164.1</v>
      </c>
      <c r="V14" s="22">
        <f t="shared" si="0"/>
        <v>454063.09999999992</v>
      </c>
      <c r="W14" s="22">
        <f t="shared" si="0"/>
        <v>425522.1999999999</v>
      </c>
      <c r="X14" s="22">
        <f t="shared" si="0"/>
        <v>566444.9</v>
      </c>
      <c r="Y14" s="22">
        <f t="shared" si="0"/>
        <v>522180.40000000008</v>
      </c>
      <c r="Z14" s="22">
        <f t="shared" si="0"/>
        <v>660875.6</v>
      </c>
      <c r="AA14" s="22">
        <f>SUM(T14:Z14)</f>
        <v>3775882.6999999997</v>
      </c>
      <c r="AB14" s="21">
        <v>2024</v>
      </c>
      <c r="AC14" s="12"/>
      <c r="AD14" s="12"/>
      <c r="AE14" s="12"/>
      <c r="AF14" s="12"/>
      <c r="AG14" s="12"/>
      <c r="AH14" s="12"/>
      <c r="AI14" s="23"/>
    </row>
    <row r="15" spans="1:35" s="30" customFormat="1" ht="16.149999999999999" hidden="1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 t="s">
        <v>2</v>
      </c>
      <c r="S15" s="26" t="s">
        <v>0</v>
      </c>
      <c r="T15" s="27" t="e">
        <f t="shared" ref="T15:T21" si="1">S15*105.1%</f>
        <v>#VALUE!</v>
      </c>
      <c r="U15" s="27" t="e">
        <f t="shared" ref="U15:V21" si="2">T15*104.9%</f>
        <v>#VALUE!</v>
      </c>
      <c r="V15" s="27" t="e">
        <f t="shared" si="2"/>
        <v>#VALUE!</v>
      </c>
      <c r="W15" s="27" t="e">
        <f t="shared" ref="W15:W21" si="3">V15*105.1%</f>
        <v>#VALUE!</v>
      </c>
      <c r="X15" s="27" t="e">
        <f t="shared" ref="X15:Y21" si="4">W15*104.9%</f>
        <v>#VALUE!</v>
      </c>
      <c r="Y15" s="27" t="e">
        <f t="shared" si="4"/>
        <v>#VALUE!</v>
      </c>
      <c r="Z15" s="27"/>
      <c r="AA15" s="27" t="e">
        <f t="shared" ref="AA15:AA21" si="5">T15+U15+V15+W15+X15+Y15</f>
        <v>#VALUE!</v>
      </c>
      <c r="AB15" s="28">
        <v>2019</v>
      </c>
      <c r="AC15" s="29"/>
    </row>
    <row r="16" spans="1:35" s="30" customFormat="1" ht="16.149999999999999" hidden="1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 t="s">
        <v>4</v>
      </c>
      <c r="S16" s="26" t="s">
        <v>0</v>
      </c>
      <c r="T16" s="27" t="e">
        <f t="shared" si="1"/>
        <v>#VALUE!</v>
      </c>
      <c r="U16" s="27" t="e">
        <f t="shared" si="2"/>
        <v>#VALUE!</v>
      </c>
      <c r="V16" s="27" t="e">
        <f t="shared" si="2"/>
        <v>#VALUE!</v>
      </c>
      <c r="W16" s="27" t="e">
        <f t="shared" si="3"/>
        <v>#VALUE!</v>
      </c>
      <c r="X16" s="27" t="e">
        <f t="shared" si="4"/>
        <v>#VALUE!</v>
      </c>
      <c r="Y16" s="27" t="e">
        <f t="shared" si="4"/>
        <v>#VALUE!</v>
      </c>
      <c r="Z16" s="27"/>
      <c r="AA16" s="27" t="e">
        <f t="shared" si="5"/>
        <v>#VALUE!</v>
      </c>
      <c r="AB16" s="28">
        <v>2019</v>
      </c>
      <c r="AC16" s="29"/>
    </row>
    <row r="17" spans="1:36" s="30" customFormat="1" ht="16.149999999999999" hidden="1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 t="s">
        <v>3</v>
      </c>
      <c r="S17" s="26" t="s">
        <v>0</v>
      </c>
      <c r="T17" s="27" t="e">
        <f t="shared" si="1"/>
        <v>#VALUE!</v>
      </c>
      <c r="U17" s="27" t="e">
        <f t="shared" si="2"/>
        <v>#VALUE!</v>
      </c>
      <c r="V17" s="27" t="e">
        <f t="shared" si="2"/>
        <v>#VALUE!</v>
      </c>
      <c r="W17" s="27" t="e">
        <f t="shared" si="3"/>
        <v>#VALUE!</v>
      </c>
      <c r="X17" s="27" t="e">
        <f t="shared" si="4"/>
        <v>#VALUE!</v>
      </c>
      <c r="Y17" s="27" t="e">
        <f t="shared" si="4"/>
        <v>#VALUE!</v>
      </c>
      <c r="Z17" s="27"/>
      <c r="AA17" s="27" t="e">
        <f t="shared" si="5"/>
        <v>#VALUE!</v>
      </c>
      <c r="AB17" s="28">
        <v>2019</v>
      </c>
      <c r="AC17" s="29"/>
    </row>
    <row r="18" spans="1:36" s="30" customFormat="1" ht="16.149999999999999" hidden="1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 t="s">
        <v>5</v>
      </c>
      <c r="S18" s="26" t="s">
        <v>0</v>
      </c>
      <c r="T18" s="27" t="e">
        <f t="shared" si="1"/>
        <v>#VALUE!</v>
      </c>
      <c r="U18" s="27" t="e">
        <f t="shared" si="2"/>
        <v>#VALUE!</v>
      </c>
      <c r="V18" s="27" t="e">
        <f t="shared" si="2"/>
        <v>#VALUE!</v>
      </c>
      <c r="W18" s="27" t="e">
        <f t="shared" si="3"/>
        <v>#VALUE!</v>
      </c>
      <c r="X18" s="27" t="e">
        <f t="shared" si="4"/>
        <v>#VALUE!</v>
      </c>
      <c r="Y18" s="27" t="e">
        <f t="shared" si="4"/>
        <v>#VALUE!</v>
      </c>
      <c r="Z18" s="27"/>
      <c r="AA18" s="27" t="e">
        <f t="shared" si="5"/>
        <v>#VALUE!</v>
      </c>
      <c r="AB18" s="28">
        <v>2019</v>
      </c>
      <c r="AC18" s="29"/>
    </row>
    <row r="19" spans="1:36" s="30" customFormat="1" ht="16.149999999999999" hidden="1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 t="s">
        <v>6</v>
      </c>
      <c r="S19" s="26" t="s">
        <v>0</v>
      </c>
      <c r="T19" s="27" t="e">
        <f t="shared" si="1"/>
        <v>#VALUE!</v>
      </c>
      <c r="U19" s="27" t="e">
        <f t="shared" si="2"/>
        <v>#VALUE!</v>
      </c>
      <c r="V19" s="27" t="e">
        <f t="shared" si="2"/>
        <v>#VALUE!</v>
      </c>
      <c r="W19" s="27" t="e">
        <f t="shared" si="3"/>
        <v>#VALUE!</v>
      </c>
      <c r="X19" s="27" t="e">
        <f t="shared" si="4"/>
        <v>#VALUE!</v>
      </c>
      <c r="Y19" s="27" t="e">
        <f t="shared" si="4"/>
        <v>#VALUE!</v>
      </c>
      <c r="Z19" s="27"/>
      <c r="AA19" s="27" t="e">
        <f t="shared" si="5"/>
        <v>#VALUE!</v>
      </c>
      <c r="AB19" s="28">
        <v>2019</v>
      </c>
      <c r="AC19" s="29"/>
    </row>
    <row r="20" spans="1:36" s="30" customFormat="1" ht="16.149999999999999" hidden="1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 t="s">
        <v>7</v>
      </c>
      <c r="S20" s="26" t="s">
        <v>0</v>
      </c>
      <c r="T20" s="27" t="e">
        <f t="shared" si="1"/>
        <v>#VALUE!</v>
      </c>
      <c r="U20" s="27" t="e">
        <f t="shared" si="2"/>
        <v>#VALUE!</v>
      </c>
      <c r="V20" s="27" t="e">
        <f t="shared" si="2"/>
        <v>#VALUE!</v>
      </c>
      <c r="W20" s="27" t="e">
        <f t="shared" si="3"/>
        <v>#VALUE!</v>
      </c>
      <c r="X20" s="27" t="e">
        <f t="shared" si="4"/>
        <v>#VALUE!</v>
      </c>
      <c r="Y20" s="27" t="e">
        <f t="shared" si="4"/>
        <v>#VALUE!</v>
      </c>
      <c r="Z20" s="27"/>
      <c r="AA20" s="27" t="e">
        <f t="shared" si="5"/>
        <v>#VALUE!</v>
      </c>
      <c r="AB20" s="28">
        <v>2019</v>
      </c>
      <c r="AC20" s="29"/>
    </row>
    <row r="21" spans="1:36" s="30" customFormat="1" ht="16.149999999999999" hidden="1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 t="s">
        <v>1</v>
      </c>
      <c r="S21" s="26" t="s">
        <v>0</v>
      </c>
      <c r="T21" s="27" t="e">
        <f t="shared" si="1"/>
        <v>#VALUE!</v>
      </c>
      <c r="U21" s="27" t="e">
        <f t="shared" si="2"/>
        <v>#VALUE!</v>
      </c>
      <c r="V21" s="27" t="e">
        <f t="shared" si="2"/>
        <v>#VALUE!</v>
      </c>
      <c r="W21" s="27" t="e">
        <f t="shared" si="3"/>
        <v>#VALUE!</v>
      </c>
      <c r="X21" s="27" t="e">
        <f t="shared" si="4"/>
        <v>#VALUE!</v>
      </c>
      <c r="Y21" s="27" t="e">
        <f t="shared" si="4"/>
        <v>#VALUE!</v>
      </c>
      <c r="Z21" s="27"/>
      <c r="AA21" s="27" t="e">
        <f t="shared" si="5"/>
        <v>#VALUE!</v>
      </c>
      <c r="AB21" s="28">
        <v>2019</v>
      </c>
      <c r="AC21" s="29"/>
    </row>
    <row r="22" spans="1:36" s="8" customFormat="1" ht="31.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80" t="s">
        <v>57</v>
      </c>
      <c r="S22" s="15"/>
      <c r="T22" s="33"/>
      <c r="U22" s="33"/>
      <c r="V22" s="33"/>
      <c r="W22" s="33"/>
      <c r="X22" s="33"/>
      <c r="Y22" s="33"/>
      <c r="Z22" s="33"/>
      <c r="AA22" s="33"/>
      <c r="AB22" s="135"/>
      <c r="AC22" s="81"/>
      <c r="AD22" s="35"/>
      <c r="AE22" s="35"/>
    </row>
    <row r="23" spans="1:36" ht="47.25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67" t="s">
        <v>58</v>
      </c>
      <c r="S23" s="37" t="s">
        <v>9</v>
      </c>
      <c r="T23" s="3">
        <f xml:space="preserve"> (416.9+89.6)/2557*100</f>
        <v>19.8083691826359</v>
      </c>
      <c r="U23" s="3">
        <f xml:space="preserve"> (416.9+89.6+58.4)/2557*100</f>
        <v>22.09229565897536</v>
      </c>
      <c r="V23" s="3">
        <f xml:space="preserve"> (416.9+89.6+58.4+46.2)/2557*100</f>
        <v>23.899100508408292</v>
      </c>
      <c r="W23" s="3">
        <f xml:space="preserve"> (416.9+89.6+58.4+46.2+69.9)/2557*100</f>
        <v>26.63277278060227</v>
      </c>
      <c r="X23" s="3">
        <f xml:space="preserve"> (416.9+89.6+58.4+46.2+69.9+X29)/2557*100</f>
        <v>28.975361752053185</v>
      </c>
      <c r="Y23" s="3">
        <f xml:space="preserve"> (416.9+89.6+58.4+46.2+69.9+X29+Y29)/Y26*100</f>
        <v>34.509361606135791</v>
      </c>
      <c r="Z23" s="3">
        <f xml:space="preserve"> (416.9+89.6+58.4+46.2+69.9+X29+Y29+Z29)/Z26*100</f>
        <v>35.429731558763805</v>
      </c>
      <c r="AA23" s="6">
        <f>Z23</f>
        <v>35.429731558763805</v>
      </c>
      <c r="AB23" s="148">
        <v>2024</v>
      </c>
      <c r="AC23" s="31"/>
    </row>
    <row r="24" spans="1:36" ht="47.25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67" t="s">
        <v>59</v>
      </c>
      <c r="S24" s="37" t="s">
        <v>9</v>
      </c>
      <c r="T24" s="3">
        <f>((842+61)+58)/2737*100</f>
        <v>35.111435878699304</v>
      </c>
      <c r="U24" s="3">
        <f>((842+61)+58+42)/2738*100</f>
        <v>36.632578524470418</v>
      </c>
      <c r="V24" s="3">
        <f>((842+61)+58+42+7)/2738*100</f>
        <v>36.888239590942298</v>
      </c>
      <c r="W24" s="3">
        <f>((842+61)+58+42+7+17)/2738*100</f>
        <v>37.509130752373999</v>
      </c>
      <c r="X24" s="3">
        <f>((842+61)+58+42+7+17+X189)/2947*100</f>
        <v>35.324058364438407</v>
      </c>
      <c r="Y24" s="3">
        <f>((842+61)+58+42+7+17+X189+Y189)/2947*100</f>
        <v>35.765184933831016</v>
      </c>
      <c r="Z24" s="3">
        <f>((842+61)+58+42+7+17+X189+Y189+Z189)/2947*100</f>
        <v>36.375975568374621</v>
      </c>
      <c r="AA24" s="6">
        <f>Z24</f>
        <v>36.375975568374621</v>
      </c>
      <c r="AB24" s="148">
        <v>2024</v>
      </c>
      <c r="AC24" s="38"/>
      <c r="AD24" s="39"/>
      <c r="AE24" s="39"/>
      <c r="AF24" s="10"/>
    </row>
    <row r="25" spans="1:36" ht="47.2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80" t="s">
        <v>60</v>
      </c>
      <c r="S25" s="37" t="s">
        <v>33</v>
      </c>
      <c r="T25" s="116">
        <f>T29/420.1</f>
        <v>0.21328255177338726</v>
      </c>
      <c r="U25" s="116">
        <f>U29/420.1</f>
        <v>0.13901452035229706</v>
      </c>
      <c r="V25" s="116">
        <f>V29/420.1</f>
        <v>0.10997381575815282</v>
      </c>
      <c r="W25" s="116">
        <f>W29/425.7</f>
        <v>0.164200140944327</v>
      </c>
      <c r="X25" s="116">
        <f>X29/424.9</f>
        <v>0.14097434690515415</v>
      </c>
      <c r="Y25" s="116">
        <f>Y29/414.8</f>
        <v>5.7859209257473482E-2</v>
      </c>
      <c r="Z25" s="116">
        <f>Z29/414.8</f>
        <v>4.9180327868852465E-2</v>
      </c>
      <c r="AA25" s="128">
        <f>SUM(T25:Z25)</f>
        <v>0.87448491285964414</v>
      </c>
      <c r="AB25" s="148">
        <v>2024</v>
      </c>
      <c r="AC25" s="31"/>
    </row>
    <row r="26" spans="1:36" ht="31.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80" t="s">
        <v>61</v>
      </c>
      <c r="S26" s="148" t="s">
        <v>50</v>
      </c>
      <c r="T26" s="3">
        <f>T138</f>
        <v>2557</v>
      </c>
      <c r="U26" s="3">
        <f t="shared" ref="U26:Z26" si="6">U138</f>
        <v>2220.9</v>
      </c>
      <c r="V26" s="3">
        <f t="shared" si="6"/>
        <v>2165.9</v>
      </c>
      <c r="W26" s="3">
        <f>W138</f>
        <v>2189.1</v>
      </c>
      <c r="X26" s="3">
        <f t="shared" si="6"/>
        <v>2192.6999999999998</v>
      </c>
      <c r="Y26" s="3">
        <f t="shared" si="6"/>
        <v>2216.5000000000005</v>
      </c>
      <c r="Z26" s="3">
        <f t="shared" si="6"/>
        <v>2216.5000000000005</v>
      </c>
      <c r="AA26" s="5">
        <f>Z26</f>
        <v>2216.5000000000005</v>
      </c>
      <c r="AB26" s="148">
        <v>2024</v>
      </c>
      <c r="AC26" s="31"/>
      <c r="AD26" s="23"/>
      <c r="AE26" s="10"/>
      <c r="AF26" s="10"/>
      <c r="AG26" s="10"/>
      <c r="AH26" s="10"/>
      <c r="AI26" s="10"/>
      <c r="AJ26" s="10"/>
    </row>
    <row r="27" spans="1:36" ht="47.25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80" t="s">
        <v>62</v>
      </c>
      <c r="S27" s="148" t="s">
        <v>48</v>
      </c>
      <c r="T27" s="40">
        <f>T32</f>
        <v>2400</v>
      </c>
      <c r="U27" s="40">
        <f t="shared" ref="U27:Z27" si="7">U32</f>
        <v>2400</v>
      </c>
      <c r="V27" s="40">
        <f t="shared" si="7"/>
        <v>4059</v>
      </c>
      <c r="W27" s="40">
        <f t="shared" si="7"/>
        <v>3100</v>
      </c>
      <c r="X27" s="40">
        <f t="shared" si="7"/>
        <v>3513</v>
      </c>
      <c r="Y27" s="40">
        <f t="shared" si="7"/>
        <v>4100</v>
      </c>
      <c r="Z27" s="40">
        <f t="shared" si="7"/>
        <v>3100</v>
      </c>
      <c r="AA27" s="43">
        <f>SUM(T27:Z27)</f>
        <v>22672</v>
      </c>
      <c r="AB27" s="148">
        <v>2024</v>
      </c>
      <c r="AC27" s="31"/>
    </row>
    <row r="28" spans="1:36" ht="31.5" x14ac:dyDescent="0.25">
      <c r="A28" s="42"/>
      <c r="B28" s="42"/>
      <c r="C28" s="42"/>
      <c r="D28" s="42"/>
      <c r="E28" s="42"/>
      <c r="F28" s="42"/>
      <c r="G28" s="42"/>
      <c r="H28" s="42" t="s">
        <v>19</v>
      </c>
      <c r="I28" s="42" t="s">
        <v>24</v>
      </c>
      <c r="J28" s="42" t="s">
        <v>18</v>
      </c>
      <c r="K28" s="42" t="s">
        <v>18</v>
      </c>
      <c r="L28" s="42" t="s">
        <v>19</v>
      </c>
      <c r="M28" s="42" t="s">
        <v>18</v>
      </c>
      <c r="N28" s="42" t="s">
        <v>18</v>
      </c>
      <c r="O28" s="42" t="s">
        <v>18</v>
      </c>
      <c r="P28" s="42" t="s">
        <v>18</v>
      </c>
      <c r="Q28" s="42" t="s">
        <v>18</v>
      </c>
      <c r="R28" s="87" t="s">
        <v>34</v>
      </c>
      <c r="S28" s="127" t="s">
        <v>227</v>
      </c>
      <c r="T28" s="126">
        <f>T38+T55+T61+T72+T94+T116+T121+T133+T136+T155+T158+T160+T170</f>
        <v>325992.60000000003</v>
      </c>
      <c r="U28" s="126">
        <f>U38+U55+U61+U72+U94+U116+U121+U133+U136+U155+U158+U160</f>
        <v>483865.9</v>
      </c>
      <c r="V28" s="126">
        <f>V38+V61+V72+V94+V116+V121+V133+V136+V155+V158+V160+V170</f>
        <v>417830.99999999994</v>
      </c>
      <c r="W28" s="126">
        <f>W38+W55+W61+W72+W94+W116+W121+W133+W136+W155+W158+W160+W170+W172</f>
        <v>361990.59999999992</v>
      </c>
      <c r="X28" s="126">
        <f>X38+X55+X61+X72+X94+X116+X121+X133+X136+X155+X158+X160+X170+X172</f>
        <v>477546.9</v>
      </c>
      <c r="Y28" s="126">
        <f>Y38+Y55+Y61+Y72+Y94+Y116+Y121+Y133+Y136+Y155+Y158+Y160+Y170+Y172+Y186</f>
        <v>450873.20000000007</v>
      </c>
      <c r="Z28" s="126">
        <f>Z38+Z55+Z61+Z72+Z94+Z116+Z121+Z133+Z136+Z155+Z158+Z160+Z170+Z172</f>
        <v>550936.5</v>
      </c>
      <c r="AA28" s="126">
        <f>SUM(T28:Z28)</f>
        <v>3069036.7</v>
      </c>
      <c r="AB28" s="127">
        <v>2024</v>
      </c>
      <c r="AC28" s="98"/>
    </row>
    <row r="29" spans="1:36" ht="31.1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38" t="s">
        <v>63</v>
      </c>
      <c r="S29" s="148" t="s">
        <v>50</v>
      </c>
      <c r="T29" s="4">
        <f t="shared" ref="T29:X29" si="8">T48+T169</f>
        <v>89.6</v>
      </c>
      <c r="U29" s="4">
        <f t="shared" si="8"/>
        <v>58.4</v>
      </c>
      <c r="V29" s="3">
        <f t="shared" si="8"/>
        <v>46.2</v>
      </c>
      <c r="W29" s="4">
        <f t="shared" si="8"/>
        <v>69.900000000000006</v>
      </c>
      <c r="X29" s="4">
        <f t="shared" si="8"/>
        <v>59.9</v>
      </c>
      <c r="Y29" s="4">
        <f>Y48+Y169</f>
        <v>24</v>
      </c>
      <c r="Z29" s="4">
        <f>Z48+Z169+Z52</f>
        <v>20.400000000000002</v>
      </c>
      <c r="AA29" s="5">
        <f>SUM(T29:Z29)</f>
        <v>368.4</v>
      </c>
      <c r="AB29" s="148">
        <v>2024</v>
      </c>
      <c r="AC29" s="31"/>
    </row>
    <row r="30" spans="1:36" s="45" customFormat="1" ht="31.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67" t="s">
        <v>64</v>
      </c>
      <c r="S30" s="37" t="s">
        <v>37</v>
      </c>
      <c r="T30" s="2">
        <f t="shared" ref="T30:Y30" si="9">T47+T168</f>
        <v>5</v>
      </c>
      <c r="U30" s="2">
        <f t="shared" si="9"/>
        <v>6</v>
      </c>
      <c r="V30" s="40">
        <f t="shared" si="9"/>
        <v>4</v>
      </c>
      <c r="W30" s="2">
        <f t="shared" si="9"/>
        <v>4</v>
      </c>
      <c r="X30" s="2">
        <f t="shared" si="9"/>
        <v>5</v>
      </c>
      <c r="Y30" s="40">
        <f t="shared" si="9"/>
        <v>4</v>
      </c>
      <c r="Z30" s="40">
        <f>Z47+Z168+Z51</f>
        <v>4</v>
      </c>
      <c r="AA30" s="41">
        <f>SUM(T30:Z30)</f>
        <v>32</v>
      </c>
      <c r="AB30" s="148">
        <v>2024</v>
      </c>
      <c r="AC30" s="31"/>
      <c r="AD30" s="44"/>
    </row>
    <row r="31" spans="1:36" s="45" customFormat="1" ht="31.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67" t="s">
        <v>65</v>
      </c>
      <c r="S31" s="37" t="s">
        <v>9</v>
      </c>
      <c r="T31" s="46">
        <v>100</v>
      </c>
      <c r="U31" s="46">
        <v>100</v>
      </c>
      <c r="V31" s="46">
        <v>100</v>
      </c>
      <c r="W31" s="46">
        <v>100</v>
      </c>
      <c r="X31" s="46">
        <v>100</v>
      </c>
      <c r="Y31" s="46">
        <v>100</v>
      </c>
      <c r="Z31" s="46">
        <v>100</v>
      </c>
      <c r="AA31" s="47">
        <v>100</v>
      </c>
      <c r="AB31" s="148">
        <v>2024</v>
      </c>
      <c r="AC31" s="31"/>
      <c r="AD31" s="44"/>
    </row>
    <row r="32" spans="1:36" ht="47.25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80" t="s">
        <v>66</v>
      </c>
      <c r="S32" s="148" t="s">
        <v>48</v>
      </c>
      <c r="T32" s="40">
        <f>T148</f>
        <v>2400</v>
      </c>
      <c r="U32" s="40">
        <f t="shared" ref="U32:Z32" si="10">U148</f>
        <v>2400</v>
      </c>
      <c r="V32" s="40">
        <f t="shared" si="10"/>
        <v>4059</v>
      </c>
      <c r="W32" s="40">
        <f t="shared" si="10"/>
        <v>3100</v>
      </c>
      <c r="X32" s="40">
        <f t="shared" si="10"/>
        <v>3513</v>
      </c>
      <c r="Y32" s="40">
        <f t="shared" si="10"/>
        <v>4100</v>
      </c>
      <c r="Z32" s="40">
        <f t="shared" si="10"/>
        <v>3100</v>
      </c>
      <c r="AA32" s="41">
        <f>SUM(T32:Z32)</f>
        <v>22672</v>
      </c>
      <c r="AB32" s="148">
        <v>2024</v>
      </c>
      <c r="AC32" s="31"/>
    </row>
    <row r="33" spans="1:31" ht="31.5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80" t="s">
        <v>67</v>
      </c>
      <c r="S33" s="148" t="s">
        <v>37</v>
      </c>
      <c r="T33" s="40">
        <f t="shared" ref="T33:Y33" si="11">T62</f>
        <v>10</v>
      </c>
      <c r="U33" s="40">
        <f t="shared" si="11"/>
        <v>10</v>
      </c>
      <c r="V33" s="40">
        <f t="shared" si="11"/>
        <v>9</v>
      </c>
      <c r="W33" s="40">
        <f t="shared" si="11"/>
        <v>10</v>
      </c>
      <c r="X33" s="40">
        <f t="shared" si="11"/>
        <v>9</v>
      </c>
      <c r="Y33" s="40">
        <f t="shared" si="11"/>
        <v>9</v>
      </c>
      <c r="Z33" s="40">
        <f t="shared" ref="Z33" si="12">Z62</f>
        <v>9</v>
      </c>
      <c r="AA33" s="43">
        <v>9</v>
      </c>
      <c r="AB33" s="148">
        <v>2024</v>
      </c>
      <c r="AC33" s="31"/>
    </row>
    <row r="34" spans="1:31" ht="31.5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138" t="s">
        <v>68</v>
      </c>
      <c r="S34" s="148" t="s">
        <v>37</v>
      </c>
      <c r="T34" s="40">
        <f t="shared" ref="T34:Y34" si="13">T73</f>
        <v>20</v>
      </c>
      <c r="U34" s="2">
        <f t="shared" si="13"/>
        <v>20</v>
      </c>
      <c r="V34" s="2">
        <f t="shared" si="13"/>
        <v>20</v>
      </c>
      <c r="W34" s="2">
        <f t="shared" si="13"/>
        <v>20</v>
      </c>
      <c r="X34" s="2">
        <f t="shared" si="13"/>
        <v>20</v>
      </c>
      <c r="Y34" s="2">
        <f t="shared" si="13"/>
        <v>20</v>
      </c>
      <c r="Z34" s="2">
        <f t="shared" ref="Z34" si="14">Z73</f>
        <v>20</v>
      </c>
      <c r="AA34" s="43">
        <v>20</v>
      </c>
      <c r="AB34" s="148">
        <v>2024</v>
      </c>
      <c r="AC34" s="31"/>
    </row>
    <row r="35" spans="1:31" s="45" customFormat="1" ht="48.7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38" t="s">
        <v>296</v>
      </c>
      <c r="S35" s="37" t="s">
        <v>37</v>
      </c>
      <c r="T35" s="40">
        <f>T97</f>
        <v>25</v>
      </c>
      <c r="U35" s="40">
        <f>U97</f>
        <v>77</v>
      </c>
      <c r="V35" s="40">
        <f t="shared" ref="V35:Y35" si="15">V97</f>
        <v>74</v>
      </c>
      <c r="W35" s="40">
        <f t="shared" si="15"/>
        <v>63</v>
      </c>
      <c r="X35" s="40">
        <f t="shared" si="15"/>
        <v>60</v>
      </c>
      <c r="Y35" s="40">
        <f t="shared" si="15"/>
        <v>27</v>
      </c>
      <c r="Z35" s="40">
        <f t="shared" ref="Z35" si="16">Z97</f>
        <v>36</v>
      </c>
      <c r="AA35" s="43">
        <f>SUM(T35:Z35)</f>
        <v>362</v>
      </c>
      <c r="AB35" s="148">
        <v>2024</v>
      </c>
      <c r="AC35" s="98"/>
      <c r="AD35" s="44"/>
    </row>
    <row r="36" spans="1:31" s="45" customFormat="1" ht="45.7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146" t="s">
        <v>69</v>
      </c>
      <c r="S36" s="49" t="s">
        <v>40</v>
      </c>
      <c r="T36" s="50">
        <v>1</v>
      </c>
      <c r="U36" s="50">
        <v>1</v>
      </c>
      <c r="V36" s="50">
        <v>1</v>
      </c>
      <c r="W36" s="50">
        <v>1</v>
      </c>
      <c r="X36" s="50">
        <v>1</v>
      </c>
      <c r="Y36" s="50">
        <v>1</v>
      </c>
      <c r="Z36" s="50">
        <v>1</v>
      </c>
      <c r="AA36" s="51">
        <v>1</v>
      </c>
      <c r="AB36" s="52">
        <v>2024</v>
      </c>
      <c r="AC36" s="31"/>
      <c r="AD36" s="44"/>
    </row>
    <row r="37" spans="1:31" ht="31.5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67" t="s">
        <v>70</v>
      </c>
      <c r="S37" s="37" t="s">
        <v>37</v>
      </c>
      <c r="T37" s="40">
        <v>5</v>
      </c>
      <c r="U37" s="2">
        <v>6</v>
      </c>
      <c r="V37" s="2">
        <v>6</v>
      </c>
      <c r="W37" s="2">
        <v>6</v>
      </c>
      <c r="X37" s="2">
        <v>18</v>
      </c>
      <c r="Y37" s="2">
        <v>10</v>
      </c>
      <c r="Z37" s="2">
        <v>6</v>
      </c>
      <c r="AA37" s="43">
        <f>SUM(T37:Z37)</f>
        <v>57</v>
      </c>
      <c r="AB37" s="148">
        <v>2024</v>
      </c>
      <c r="AC37" s="108"/>
      <c r="AD37" s="89"/>
      <c r="AE37" s="8"/>
    </row>
    <row r="38" spans="1:31" ht="15.75" customHeight="1" x14ac:dyDescent="0.25">
      <c r="A38" s="48"/>
      <c r="B38" s="48"/>
      <c r="C38" s="48"/>
      <c r="D38" s="48" t="s">
        <v>18</v>
      </c>
      <c r="E38" s="48" t="s">
        <v>21</v>
      </c>
      <c r="F38" s="48" t="s">
        <v>18</v>
      </c>
      <c r="G38" s="48" t="s">
        <v>22</v>
      </c>
      <c r="H38" s="48" t="s">
        <v>19</v>
      </c>
      <c r="I38" s="48" t="s">
        <v>24</v>
      </c>
      <c r="J38" s="48" t="s">
        <v>18</v>
      </c>
      <c r="K38" s="48" t="s">
        <v>18</v>
      </c>
      <c r="L38" s="48" t="s">
        <v>19</v>
      </c>
      <c r="M38" s="48" t="s">
        <v>18</v>
      </c>
      <c r="N38" s="48" t="s">
        <v>18</v>
      </c>
      <c r="O38" s="48" t="s">
        <v>18</v>
      </c>
      <c r="P38" s="48" t="s">
        <v>18</v>
      </c>
      <c r="Q38" s="48" t="s">
        <v>18</v>
      </c>
      <c r="R38" s="153" t="s">
        <v>71</v>
      </c>
      <c r="S38" s="150" t="s">
        <v>0</v>
      </c>
      <c r="T38" s="53">
        <f>SUM(T39:T42)</f>
        <v>85389.599999999991</v>
      </c>
      <c r="U38" s="53">
        <f t="shared" ref="U38:Y38" si="17">SUM(U39:U42)</f>
        <v>921.2</v>
      </c>
      <c r="V38" s="53">
        <f t="shared" si="17"/>
        <v>350</v>
      </c>
      <c r="W38" s="53">
        <f t="shared" si="17"/>
        <v>7371.0999999999995</v>
      </c>
      <c r="X38" s="53">
        <f t="shared" si="17"/>
        <v>7729.2999999999975</v>
      </c>
      <c r="Y38" s="53">
        <f t="shared" si="17"/>
        <v>11374.399999999998</v>
      </c>
      <c r="Z38" s="53">
        <f>SUM(Z39:Z46)</f>
        <v>119104.20000000001</v>
      </c>
      <c r="AA38" s="53">
        <f>SUM(T38:Z38)</f>
        <v>232239.8</v>
      </c>
      <c r="AB38" s="52">
        <v>2024</v>
      </c>
      <c r="AC38" s="112"/>
      <c r="AD38" s="54"/>
      <c r="AE38" s="8"/>
    </row>
    <row r="39" spans="1:31" x14ac:dyDescent="0.25">
      <c r="A39" s="48" t="s">
        <v>18</v>
      </c>
      <c r="B39" s="48" t="s">
        <v>18</v>
      </c>
      <c r="C39" s="48" t="s">
        <v>24</v>
      </c>
      <c r="D39" s="48" t="s">
        <v>18</v>
      </c>
      <c r="E39" s="48" t="s">
        <v>21</v>
      </c>
      <c r="F39" s="48" t="s">
        <v>18</v>
      </c>
      <c r="G39" s="48" t="s">
        <v>22</v>
      </c>
      <c r="H39" s="48" t="s">
        <v>19</v>
      </c>
      <c r="I39" s="48" t="s">
        <v>24</v>
      </c>
      <c r="J39" s="48" t="s">
        <v>18</v>
      </c>
      <c r="K39" s="48" t="s">
        <v>18</v>
      </c>
      <c r="L39" s="48" t="s">
        <v>19</v>
      </c>
      <c r="M39" s="48" t="s">
        <v>42</v>
      </c>
      <c r="N39" s="48" t="s">
        <v>42</v>
      </c>
      <c r="O39" s="48" t="s">
        <v>42</v>
      </c>
      <c r="P39" s="48" t="s">
        <v>42</v>
      </c>
      <c r="Q39" s="48" t="s">
        <v>42</v>
      </c>
      <c r="R39" s="154"/>
      <c r="S39" s="151"/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f>300-130</f>
        <v>170</v>
      </c>
      <c r="Z39" s="1">
        <v>0</v>
      </c>
      <c r="AA39" s="53">
        <f t="shared" ref="AA39:AA41" si="18">SUM(T39:Z39)</f>
        <v>170</v>
      </c>
      <c r="AB39" s="52">
        <v>2023</v>
      </c>
      <c r="AC39" s="112"/>
      <c r="AD39" s="54"/>
      <c r="AE39" s="8"/>
    </row>
    <row r="40" spans="1:31" x14ac:dyDescent="0.25">
      <c r="A40" s="48" t="s">
        <v>18</v>
      </c>
      <c r="B40" s="48" t="s">
        <v>19</v>
      </c>
      <c r="C40" s="48" t="s">
        <v>20</v>
      </c>
      <c r="D40" s="48" t="s">
        <v>18</v>
      </c>
      <c r="E40" s="48" t="s">
        <v>21</v>
      </c>
      <c r="F40" s="48" t="s">
        <v>18</v>
      </c>
      <c r="G40" s="48" t="s">
        <v>22</v>
      </c>
      <c r="H40" s="48" t="s">
        <v>19</v>
      </c>
      <c r="I40" s="48" t="s">
        <v>24</v>
      </c>
      <c r="J40" s="48" t="s">
        <v>18</v>
      </c>
      <c r="K40" s="48" t="s">
        <v>18</v>
      </c>
      <c r="L40" s="48" t="s">
        <v>19</v>
      </c>
      <c r="M40" s="48" t="s">
        <v>39</v>
      </c>
      <c r="N40" s="48" t="s">
        <v>21</v>
      </c>
      <c r="O40" s="48" t="s">
        <v>21</v>
      </c>
      <c r="P40" s="48" t="s">
        <v>21</v>
      </c>
      <c r="Q40" s="48" t="s">
        <v>18</v>
      </c>
      <c r="R40" s="154"/>
      <c r="S40" s="151"/>
      <c r="T40" s="1">
        <f>80246+3777-348.6</f>
        <v>83674.399999999994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3">
        <f t="shared" si="18"/>
        <v>83674.399999999994</v>
      </c>
      <c r="AB40" s="52">
        <v>2018</v>
      </c>
      <c r="AC40" s="112"/>
      <c r="AD40" s="54"/>
      <c r="AE40" s="8"/>
    </row>
    <row r="41" spans="1:31" x14ac:dyDescent="0.25">
      <c r="A41" s="48" t="s">
        <v>18</v>
      </c>
      <c r="B41" s="48" t="s">
        <v>19</v>
      </c>
      <c r="C41" s="48" t="s">
        <v>20</v>
      </c>
      <c r="D41" s="48" t="s">
        <v>18</v>
      </c>
      <c r="E41" s="48" t="s">
        <v>21</v>
      </c>
      <c r="F41" s="48" t="s">
        <v>18</v>
      </c>
      <c r="G41" s="48" t="s">
        <v>22</v>
      </c>
      <c r="H41" s="48" t="s">
        <v>19</v>
      </c>
      <c r="I41" s="48" t="s">
        <v>24</v>
      </c>
      <c r="J41" s="48" t="s">
        <v>18</v>
      </c>
      <c r="K41" s="48" t="s">
        <v>18</v>
      </c>
      <c r="L41" s="48" t="s">
        <v>19</v>
      </c>
      <c r="M41" s="48" t="s">
        <v>42</v>
      </c>
      <c r="N41" s="48" t="s">
        <v>42</v>
      </c>
      <c r="O41" s="48" t="s">
        <v>42</v>
      </c>
      <c r="P41" s="48" t="s">
        <v>42</v>
      </c>
      <c r="Q41" s="48" t="s">
        <v>19</v>
      </c>
      <c r="R41" s="154"/>
      <c r="S41" s="151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2800</v>
      </c>
      <c r="AA41" s="53">
        <f t="shared" si="18"/>
        <v>2800</v>
      </c>
      <c r="AB41" s="52">
        <v>2024</v>
      </c>
      <c r="AC41" s="112"/>
      <c r="AD41" s="54"/>
      <c r="AE41" s="8"/>
    </row>
    <row r="42" spans="1:31" x14ac:dyDescent="0.25">
      <c r="A42" s="48" t="s">
        <v>18</v>
      </c>
      <c r="B42" s="48" t="s">
        <v>19</v>
      </c>
      <c r="C42" s="48" t="s">
        <v>20</v>
      </c>
      <c r="D42" s="48" t="s">
        <v>18</v>
      </c>
      <c r="E42" s="48" t="s">
        <v>21</v>
      </c>
      <c r="F42" s="48" t="s">
        <v>18</v>
      </c>
      <c r="G42" s="48" t="s">
        <v>22</v>
      </c>
      <c r="H42" s="48" t="s">
        <v>19</v>
      </c>
      <c r="I42" s="48" t="s">
        <v>24</v>
      </c>
      <c r="J42" s="48" t="s">
        <v>18</v>
      </c>
      <c r="K42" s="48" t="s">
        <v>18</v>
      </c>
      <c r="L42" s="48" t="s">
        <v>19</v>
      </c>
      <c r="M42" s="48" t="s">
        <v>42</v>
      </c>
      <c r="N42" s="48" t="s">
        <v>42</v>
      </c>
      <c r="O42" s="48" t="s">
        <v>42</v>
      </c>
      <c r="P42" s="48" t="s">
        <v>42</v>
      </c>
      <c r="Q42" s="48" t="s">
        <v>42</v>
      </c>
      <c r="R42" s="154"/>
      <c r="S42" s="151"/>
      <c r="T42" s="1">
        <f>2298.3-43.1-12-538+10</f>
        <v>1715.2000000000003</v>
      </c>
      <c r="U42" s="1">
        <f>840+131.2-50</f>
        <v>921.2</v>
      </c>
      <c r="V42" s="1">
        <f>150+100+100</f>
        <v>350</v>
      </c>
      <c r="W42" s="1">
        <f>2477.4+9.4+100+70+600+5000-885.7</f>
        <v>7371.0999999999995</v>
      </c>
      <c r="X42" s="1">
        <f>0+300+6588.6+10900-10000+10005.3-10024.1-40.5</f>
        <v>7729.2999999999975</v>
      </c>
      <c r="Y42" s="1">
        <f>0+10605.3+892.8+500+283.8-1077.5</f>
        <v>11204.399999999998</v>
      </c>
      <c r="Z42" s="1">
        <v>250</v>
      </c>
      <c r="AA42" s="53">
        <f>SUM(T42:Z42)</f>
        <v>29541.199999999993</v>
      </c>
      <c r="AB42" s="52">
        <v>2024</v>
      </c>
      <c r="AC42" s="112"/>
      <c r="AD42" s="54"/>
      <c r="AE42" s="8"/>
    </row>
    <row r="43" spans="1:31" x14ac:dyDescent="0.25">
      <c r="A43" s="48" t="s">
        <v>18</v>
      </c>
      <c r="B43" s="48" t="s">
        <v>19</v>
      </c>
      <c r="C43" s="48" t="s">
        <v>24</v>
      </c>
      <c r="D43" s="48" t="s">
        <v>18</v>
      </c>
      <c r="E43" s="48" t="s">
        <v>21</v>
      </c>
      <c r="F43" s="48" t="s">
        <v>18</v>
      </c>
      <c r="G43" s="48" t="s">
        <v>22</v>
      </c>
      <c r="H43" s="48" t="s">
        <v>19</v>
      </c>
      <c r="I43" s="48" t="s">
        <v>24</v>
      </c>
      <c r="J43" s="48" t="s">
        <v>18</v>
      </c>
      <c r="K43" s="48" t="s">
        <v>18</v>
      </c>
      <c r="L43" s="48" t="s">
        <v>19</v>
      </c>
      <c r="M43" s="48" t="s">
        <v>19</v>
      </c>
      <c r="N43" s="48" t="s">
        <v>19</v>
      </c>
      <c r="O43" s="48" t="s">
        <v>24</v>
      </c>
      <c r="P43" s="48" t="s">
        <v>24</v>
      </c>
      <c r="Q43" s="48" t="s">
        <v>18</v>
      </c>
      <c r="R43" s="154"/>
      <c r="S43" s="151"/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100000</v>
      </c>
      <c r="AA43" s="53">
        <f t="shared" ref="AA43:AA44" si="19">SUM(T43:Z43)</f>
        <v>100000</v>
      </c>
      <c r="AB43" s="52">
        <v>2024</v>
      </c>
      <c r="AC43" s="112"/>
      <c r="AD43" s="54"/>
      <c r="AE43" s="8"/>
    </row>
    <row r="44" spans="1:31" x14ac:dyDescent="0.25">
      <c r="A44" s="48" t="s">
        <v>18</v>
      </c>
      <c r="B44" s="48" t="s">
        <v>19</v>
      </c>
      <c r="C44" s="48" t="s">
        <v>24</v>
      </c>
      <c r="D44" s="48" t="s">
        <v>18</v>
      </c>
      <c r="E44" s="48" t="s">
        <v>21</v>
      </c>
      <c r="F44" s="48" t="s">
        <v>18</v>
      </c>
      <c r="G44" s="48" t="s">
        <v>22</v>
      </c>
      <c r="H44" s="48" t="s">
        <v>19</v>
      </c>
      <c r="I44" s="48" t="s">
        <v>24</v>
      </c>
      <c r="J44" s="48" t="s">
        <v>18</v>
      </c>
      <c r="K44" s="48" t="s">
        <v>18</v>
      </c>
      <c r="L44" s="48" t="s">
        <v>19</v>
      </c>
      <c r="M44" s="48" t="s">
        <v>36</v>
      </c>
      <c r="N44" s="48" t="s">
        <v>19</v>
      </c>
      <c r="O44" s="48" t="s">
        <v>24</v>
      </c>
      <c r="P44" s="48" t="s">
        <v>24</v>
      </c>
      <c r="Q44" s="48" t="s">
        <v>18</v>
      </c>
      <c r="R44" s="154"/>
      <c r="S44" s="151"/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1010.1</v>
      </c>
      <c r="AA44" s="53">
        <f t="shared" si="19"/>
        <v>1010.1</v>
      </c>
      <c r="AB44" s="52">
        <v>2024</v>
      </c>
      <c r="AC44" s="112"/>
      <c r="AD44" s="54"/>
      <c r="AE44" s="8"/>
    </row>
    <row r="45" spans="1:31" ht="15.75" customHeight="1" x14ac:dyDescent="0.25">
      <c r="A45" s="48" t="s">
        <v>18</v>
      </c>
      <c r="B45" s="48" t="s">
        <v>19</v>
      </c>
      <c r="C45" s="48" t="s">
        <v>24</v>
      </c>
      <c r="D45" s="48" t="s">
        <v>18</v>
      </c>
      <c r="E45" s="48" t="s">
        <v>21</v>
      </c>
      <c r="F45" s="48" t="s">
        <v>18</v>
      </c>
      <c r="G45" s="48" t="s">
        <v>22</v>
      </c>
      <c r="H45" s="48" t="s">
        <v>19</v>
      </c>
      <c r="I45" s="48" t="s">
        <v>24</v>
      </c>
      <c r="J45" s="48" t="s">
        <v>18</v>
      </c>
      <c r="K45" s="48" t="s">
        <v>18</v>
      </c>
      <c r="L45" s="48" t="s">
        <v>19</v>
      </c>
      <c r="M45" s="48" t="s">
        <v>19</v>
      </c>
      <c r="N45" s="48" t="s">
        <v>19</v>
      </c>
      <c r="O45" s="48" t="s">
        <v>24</v>
      </c>
      <c r="P45" s="48" t="s">
        <v>21</v>
      </c>
      <c r="Q45" s="48" t="s">
        <v>18</v>
      </c>
      <c r="R45" s="154"/>
      <c r="S45" s="151"/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14000</v>
      </c>
      <c r="AA45" s="53">
        <f t="shared" ref="AA45:AA46" si="20">SUM(T45:Z45)</f>
        <v>14000</v>
      </c>
      <c r="AB45" s="52">
        <v>2024</v>
      </c>
      <c r="AC45" s="112"/>
      <c r="AD45" s="54"/>
      <c r="AE45" s="8"/>
    </row>
    <row r="46" spans="1:31" x14ac:dyDescent="0.25">
      <c r="A46" s="48" t="s">
        <v>18</v>
      </c>
      <c r="B46" s="48" t="s">
        <v>19</v>
      </c>
      <c r="C46" s="48" t="s">
        <v>24</v>
      </c>
      <c r="D46" s="48" t="s">
        <v>18</v>
      </c>
      <c r="E46" s="48" t="s">
        <v>21</v>
      </c>
      <c r="F46" s="48" t="s">
        <v>18</v>
      </c>
      <c r="G46" s="48" t="s">
        <v>22</v>
      </c>
      <c r="H46" s="48" t="s">
        <v>19</v>
      </c>
      <c r="I46" s="48" t="s">
        <v>24</v>
      </c>
      <c r="J46" s="48" t="s">
        <v>18</v>
      </c>
      <c r="K46" s="48" t="s">
        <v>18</v>
      </c>
      <c r="L46" s="48" t="s">
        <v>19</v>
      </c>
      <c r="M46" s="48" t="s">
        <v>36</v>
      </c>
      <c r="N46" s="48" t="s">
        <v>19</v>
      </c>
      <c r="O46" s="48" t="s">
        <v>24</v>
      </c>
      <c r="P46" s="48" t="s">
        <v>21</v>
      </c>
      <c r="Q46" s="48" t="s">
        <v>18</v>
      </c>
      <c r="R46" s="155"/>
      <c r="S46" s="152"/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1044.0999999999999</v>
      </c>
      <c r="AA46" s="53">
        <f t="shared" si="20"/>
        <v>1044.0999999999999</v>
      </c>
      <c r="AB46" s="52">
        <v>2024</v>
      </c>
      <c r="AC46" s="112"/>
      <c r="AD46" s="54"/>
      <c r="AE46" s="8"/>
    </row>
    <row r="47" spans="1:31" s="62" customFormat="1" ht="31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69" t="s">
        <v>72</v>
      </c>
      <c r="S47" s="55" t="s">
        <v>37</v>
      </c>
      <c r="T47" s="2">
        <v>5</v>
      </c>
      <c r="U47" s="40">
        <v>0</v>
      </c>
      <c r="V47" s="40">
        <v>0</v>
      </c>
      <c r="W47" s="40">
        <v>2</v>
      </c>
      <c r="X47" s="40">
        <v>2</v>
      </c>
      <c r="Y47" s="40">
        <v>2</v>
      </c>
      <c r="Z47" s="40">
        <f>1+1</f>
        <v>2</v>
      </c>
      <c r="AA47" s="43">
        <f t="shared" ref="AA47:AA52" si="21">SUM(T47:Z47)</f>
        <v>13</v>
      </c>
      <c r="AB47" s="63">
        <v>2024</v>
      </c>
      <c r="AC47" s="31"/>
      <c r="AD47" s="83"/>
      <c r="AE47" s="83"/>
    </row>
    <row r="48" spans="1:31" s="62" customFormat="1" ht="31.5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69" t="s">
        <v>73</v>
      </c>
      <c r="S48" s="55" t="s">
        <v>50</v>
      </c>
      <c r="T48" s="3">
        <v>89.6</v>
      </c>
      <c r="U48" s="3">
        <v>0</v>
      </c>
      <c r="V48" s="3">
        <v>0</v>
      </c>
      <c r="W48" s="3">
        <f>2.9+0.6</f>
        <v>3.5</v>
      </c>
      <c r="X48" s="3">
        <f>2.4</f>
        <v>2.4</v>
      </c>
      <c r="Y48" s="3">
        <f>2+0.2</f>
        <v>2.2000000000000002</v>
      </c>
      <c r="Z48" s="3">
        <f>2.9+10</f>
        <v>12.9</v>
      </c>
      <c r="AA48" s="6">
        <f>SUM(T48:Z48)</f>
        <v>110.60000000000001</v>
      </c>
      <c r="AB48" s="63">
        <v>2024</v>
      </c>
      <c r="AC48" s="31"/>
      <c r="AD48" s="83"/>
      <c r="AE48" s="83"/>
    </row>
    <row r="49" spans="1:34" s="62" customFormat="1" ht="47.25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69" t="s">
        <v>362</v>
      </c>
      <c r="S49" s="55" t="s">
        <v>37</v>
      </c>
      <c r="T49" s="40">
        <v>8</v>
      </c>
      <c r="U49" s="40">
        <v>5</v>
      </c>
      <c r="V49" s="40">
        <v>8</v>
      </c>
      <c r="W49" s="40">
        <v>16</v>
      </c>
      <c r="X49" s="40">
        <v>12</v>
      </c>
      <c r="Y49" s="40">
        <v>7</v>
      </c>
      <c r="Z49" s="40">
        <v>0</v>
      </c>
      <c r="AA49" s="43">
        <f t="shared" si="21"/>
        <v>56</v>
      </c>
      <c r="AB49" s="63">
        <v>2023</v>
      </c>
      <c r="AC49" s="31"/>
      <c r="AD49" s="83"/>
      <c r="AE49" s="83"/>
    </row>
    <row r="50" spans="1:34" s="62" customFormat="1" ht="47.2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69" t="s">
        <v>376</v>
      </c>
      <c r="S50" s="55" t="s">
        <v>37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1</v>
      </c>
      <c r="Z50" s="40">
        <v>2</v>
      </c>
      <c r="AA50" s="43">
        <f t="shared" si="21"/>
        <v>3</v>
      </c>
      <c r="AB50" s="63">
        <v>2024</v>
      </c>
      <c r="AC50" s="31"/>
      <c r="AD50" s="83"/>
      <c r="AE50" s="83"/>
    </row>
    <row r="51" spans="1:34" s="62" customFormat="1" ht="63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69" t="s">
        <v>372</v>
      </c>
      <c r="S51" s="55" t="s">
        <v>37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1</v>
      </c>
      <c r="AA51" s="43">
        <f t="shared" si="21"/>
        <v>1</v>
      </c>
      <c r="AB51" s="63">
        <v>2024</v>
      </c>
      <c r="AC51" s="31"/>
      <c r="AD51" s="83"/>
      <c r="AE51" s="83"/>
    </row>
    <row r="52" spans="1:34" s="62" customFormat="1" ht="63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69" t="s">
        <v>373</v>
      </c>
      <c r="S52" s="55" t="s">
        <v>50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3">
        <v>1.8</v>
      </c>
      <c r="AA52" s="6">
        <f t="shared" si="21"/>
        <v>1.8</v>
      </c>
      <c r="AB52" s="63">
        <v>2024</v>
      </c>
      <c r="AC52" s="31"/>
      <c r="AD52" s="83"/>
      <c r="AE52" s="83"/>
    </row>
    <row r="53" spans="1:34" ht="47.25" x14ac:dyDescent="0.25">
      <c r="A53" s="48" t="s">
        <v>18</v>
      </c>
      <c r="B53" s="48" t="s">
        <v>19</v>
      </c>
      <c r="C53" s="48" t="s">
        <v>20</v>
      </c>
      <c r="D53" s="48" t="s">
        <v>18</v>
      </c>
      <c r="E53" s="48" t="s">
        <v>21</v>
      </c>
      <c r="F53" s="48" t="s">
        <v>18</v>
      </c>
      <c r="G53" s="48" t="s">
        <v>22</v>
      </c>
      <c r="H53" s="48" t="s">
        <v>19</v>
      </c>
      <c r="I53" s="48" t="s">
        <v>24</v>
      </c>
      <c r="J53" s="48" t="s">
        <v>18</v>
      </c>
      <c r="K53" s="48" t="s">
        <v>18</v>
      </c>
      <c r="L53" s="48" t="s">
        <v>19</v>
      </c>
      <c r="M53" s="48" t="s">
        <v>42</v>
      </c>
      <c r="N53" s="48" t="s">
        <v>42</v>
      </c>
      <c r="O53" s="48" t="s">
        <v>42</v>
      </c>
      <c r="P53" s="48" t="s">
        <v>42</v>
      </c>
      <c r="Q53" s="48" t="s">
        <v>42</v>
      </c>
      <c r="R53" s="146" t="s">
        <v>74</v>
      </c>
      <c r="S53" s="49" t="s">
        <v>40</v>
      </c>
      <c r="T53" s="50">
        <v>0</v>
      </c>
      <c r="U53" s="50">
        <v>0</v>
      </c>
      <c r="V53" s="50">
        <v>0</v>
      </c>
      <c r="W53" s="50">
        <v>1</v>
      </c>
      <c r="X53" s="50">
        <v>1</v>
      </c>
      <c r="Y53" s="50">
        <v>1</v>
      </c>
      <c r="Z53" s="50">
        <v>1</v>
      </c>
      <c r="AA53" s="51">
        <v>1</v>
      </c>
      <c r="AB53" s="52">
        <v>2024</v>
      </c>
      <c r="AC53" s="31"/>
      <c r="AD53" s="91"/>
      <c r="AE53" s="91"/>
    </row>
    <row r="54" spans="1:34" s="45" customFormat="1" ht="31.5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67" t="s">
        <v>75</v>
      </c>
      <c r="S54" s="46" t="s">
        <v>37</v>
      </c>
      <c r="T54" s="40">
        <v>0</v>
      </c>
      <c r="U54" s="40">
        <v>0</v>
      </c>
      <c r="V54" s="40">
        <v>0</v>
      </c>
      <c r="W54" s="40">
        <v>1</v>
      </c>
      <c r="X54" s="40">
        <v>1</v>
      </c>
      <c r="Y54" s="40">
        <v>1</v>
      </c>
      <c r="Z54" s="40">
        <v>1</v>
      </c>
      <c r="AA54" s="41">
        <f>SUM(T54:Z54)</f>
        <v>4</v>
      </c>
      <c r="AB54" s="37">
        <v>2024</v>
      </c>
      <c r="AC54" s="31"/>
      <c r="AD54" s="44"/>
    </row>
    <row r="55" spans="1:34" ht="24.6" hidden="1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167" t="s">
        <v>76</v>
      </c>
      <c r="S55" s="56" t="s">
        <v>0</v>
      </c>
      <c r="T55" s="1"/>
      <c r="U55" s="1">
        <f t="shared" ref="U55:Z55" si="22">U57</f>
        <v>0</v>
      </c>
      <c r="V55" s="1">
        <f t="shared" si="22"/>
        <v>0</v>
      </c>
      <c r="W55" s="1">
        <f t="shared" si="22"/>
        <v>0</v>
      </c>
      <c r="X55" s="1">
        <f t="shared" si="22"/>
        <v>0</v>
      </c>
      <c r="Y55" s="1">
        <f t="shared" si="22"/>
        <v>0</v>
      </c>
      <c r="Z55" s="1">
        <f t="shared" si="22"/>
        <v>0</v>
      </c>
      <c r="AA55" s="53">
        <f>T55+U55+V55+W55+X55+Y55</f>
        <v>0</v>
      </c>
      <c r="AB55" s="52">
        <v>2018</v>
      </c>
    </row>
    <row r="56" spans="1:34" ht="22.15" hidden="1" customHeight="1" x14ac:dyDescent="0.25">
      <c r="A56" s="48" t="s">
        <v>18</v>
      </c>
      <c r="B56" s="48" t="s">
        <v>18</v>
      </c>
      <c r="C56" s="48" t="s">
        <v>23</v>
      </c>
      <c r="D56" s="48" t="s">
        <v>18</v>
      </c>
      <c r="E56" s="48" t="s">
        <v>21</v>
      </c>
      <c r="F56" s="48" t="s">
        <v>18</v>
      </c>
      <c r="G56" s="48" t="s">
        <v>22</v>
      </c>
      <c r="H56" s="48" t="s">
        <v>19</v>
      </c>
      <c r="I56" s="48" t="s">
        <v>24</v>
      </c>
      <c r="J56" s="48" t="s">
        <v>18</v>
      </c>
      <c r="K56" s="48" t="s">
        <v>18</v>
      </c>
      <c r="L56" s="48" t="s">
        <v>19</v>
      </c>
      <c r="M56" s="48" t="s">
        <v>18</v>
      </c>
      <c r="N56" s="48" t="s">
        <v>18</v>
      </c>
      <c r="O56" s="48" t="s">
        <v>18</v>
      </c>
      <c r="P56" s="48" t="s">
        <v>18</v>
      </c>
      <c r="Q56" s="48" t="s">
        <v>18</v>
      </c>
      <c r="R56" s="168"/>
      <c r="S56" s="49" t="s">
        <v>0</v>
      </c>
      <c r="T56" s="1"/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53">
        <f>T56+U56+V56+W56+X56+Y56</f>
        <v>0</v>
      </c>
      <c r="AB56" s="52">
        <v>2018</v>
      </c>
    </row>
    <row r="57" spans="1:34" ht="20.45" hidden="1" customHeight="1" x14ac:dyDescent="0.25">
      <c r="A57" s="48" t="s">
        <v>18</v>
      </c>
      <c r="B57" s="48" t="s">
        <v>18</v>
      </c>
      <c r="C57" s="48" t="s">
        <v>23</v>
      </c>
      <c r="D57" s="48" t="s">
        <v>18</v>
      </c>
      <c r="E57" s="48" t="s">
        <v>21</v>
      </c>
      <c r="F57" s="48" t="s">
        <v>18</v>
      </c>
      <c r="G57" s="48" t="s">
        <v>22</v>
      </c>
      <c r="H57" s="48" t="s">
        <v>19</v>
      </c>
      <c r="I57" s="48" t="s">
        <v>24</v>
      </c>
      <c r="J57" s="48" t="s">
        <v>18</v>
      </c>
      <c r="K57" s="48" t="s">
        <v>18</v>
      </c>
      <c r="L57" s="48" t="s">
        <v>19</v>
      </c>
      <c r="M57" s="48" t="s">
        <v>19</v>
      </c>
      <c r="N57" s="48" t="s">
        <v>18</v>
      </c>
      <c r="O57" s="48" t="s">
        <v>23</v>
      </c>
      <c r="P57" s="48" t="s">
        <v>19</v>
      </c>
      <c r="Q57" s="48" t="s">
        <v>43</v>
      </c>
      <c r="R57" s="168"/>
      <c r="S57" s="56" t="s">
        <v>0</v>
      </c>
      <c r="T57" s="1"/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53">
        <f>T57+U57+V57+W57+X57+Y57</f>
        <v>0</v>
      </c>
      <c r="AB57" s="52">
        <v>2018</v>
      </c>
    </row>
    <row r="58" spans="1:34" ht="21" hidden="1" customHeight="1" x14ac:dyDescent="0.25">
      <c r="A58" s="48" t="s">
        <v>18</v>
      </c>
      <c r="B58" s="48" t="s">
        <v>18</v>
      </c>
      <c r="C58" s="48" t="s">
        <v>23</v>
      </c>
      <c r="D58" s="48" t="s">
        <v>18</v>
      </c>
      <c r="E58" s="48" t="s">
        <v>21</v>
      </c>
      <c r="F58" s="48" t="s">
        <v>18</v>
      </c>
      <c r="G58" s="48" t="s">
        <v>22</v>
      </c>
      <c r="H58" s="48" t="s">
        <v>19</v>
      </c>
      <c r="I58" s="48" t="s">
        <v>24</v>
      </c>
      <c r="J58" s="48" t="s">
        <v>18</v>
      </c>
      <c r="K58" s="48" t="s">
        <v>18</v>
      </c>
      <c r="L58" s="48" t="s">
        <v>19</v>
      </c>
      <c r="M58" s="48" t="s">
        <v>36</v>
      </c>
      <c r="N58" s="48" t="s">
        <v>18</v>
      </c>
      <c r="O58" s="48" t="s">
        <v>23</v>
      </c>
      <c r="P58" s="48" t="s">
        <v>19</v>
      </c>
      <c r="Q58" s="48" t="s">
        <v>45</v>
      </c>
      <c r="R58" s="168"/>
      <c r="S58" s="56" t="s">
        <v>0</v>
      </c>
      <c r="T58" s="1"/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53">
        <f>T58+U58+V58+W58+X58+Y58</f>
        <v>0</v>
      </c>
      <c r="AB58" s="51">
        <v>2018</v>
      </c>
    </row>
    <row r="59" spans="1:34" ht="36" hidden="1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67" t="s">
        <v>77</v>
      </c>
      <c r="S59" s="37" t="s">
        <v>48</v>
      </c>
      <c r="T59" s="40"/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3"/>
      <c r="AB59" s="2">
        <v>2018</v>
      </c>
      <c r="AD59" s="91"/>
      <c r="AE59" s="91"/>
    </row>
    <row r="60" spans="1:34" ht="41.45" hidden="1" customHeight="1" x14ac:dyDescent="0.25">
      <c r="A60" s="32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68" t="s">
        <v>78</v>
      </c>
      <c r="S60" s="57" t="s">
        <v>9</v>
      </c>
      <c r="T60" s="58">
        <v>100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9">
        <v>100</v>
      </c>
      <c r="AB60" s="21">
        <v>2023</v>
      </c>
      <c r="AC60" s="102"/>
      <c r="AD60" s="89"/>
    </row>
    <row r="61" spans="1:34" ht="31.5" x14ac:dyDescent="0.25">
      <c r="A61" s="48"/>
      <c r="B61" s="48"/>
      <c r="C61" s="48"/>
      <c r="D61" s="48" t="s">
        <v>18</v>
      </c>
      <c r="E61" s="48" t="s">
        <v>21</v>
      </c>
      <c r="F61" s="48" t="s">
        <v>18</v>
      </c>
      <c r="G61" s="48" t="s">
        <v>22</v>
      </c>
      <c r="H61" s="48" t="s">
        <v>19</v>
      </c>
      <c r="I61" s="48" t="s">
        <v>24</v>
      </c>
      <c r="J61" s="48" t="s">
        <v>18</v>
      </c>
      <c r="K61" s="48" t="s">
        <v>18</v>
      </c>
      <c r="L61" s="48" t="s">
        <v>19</v>
      </c>
      <c r="M61" s="48" t="s">
        <v>42</v>
      </c>
      <c r="N61" s="48" t="s">
        <v>42</v>
      </c>
      <c r="O61" s="48" t="s">
        <v>42</v>
      </c>
      <c r="P61" s="48" t="s">
        <v>42</v>
      </c>
      <c r="Q61" s="48" t="s">
        <v>42</v>
      </c>
      <c r="R61" s="66" t="s">
        <v>79</v>
      </c>
      <c r="S61" s="52" t="s">
        <v>0</v>
      </c>
      <c r="T61" s="53">
        <f t="shared" ref="T61:Y61" si="23">T63+T65+T70+T67</f>
        <v>5077.4000000000005</v>
      </c>
      <c r="U61" s="53">
        <f t="shared" si="23"/>
        <v>2855.4</v>
      </c>
      <c r="V61" s="53">
        <f t="shared" si="23"/>
        <v>2623.8999999999996</v>
      </c>
      <c r="W61" s="53">
        <f t="shared" si="23"/>
        <v>3067.3</v>
      </c>
      <c r="X61" s="53">
        <f t="shared" si="23"/>
        <v>4101</v>
      </c>
      <c r="Y61" s="53">
        <f t="shared" si="23"/>
        <v>3616.7</v>
      </c>
      <c r="Z61" s="53">
        <f t="shared" ref="Z61" si="24">Z63+Z65+Z70+Z67</f>
        <v>3940</v>
      </c>
      <c r="AA61" s="53">
        <f>SUM(T61:Z61)</f>
        <v>25281.7</v>
      </c>
      <c r="AB61" s="52">
        <v>2024</v>
      </c>
      <c r="AC61" s="107"/>
    </row>
    <row r="62" spans="1:34" ht="31.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69" t="s">
        <v>80</v>
      </c>
      <c r="S62" s="148" t="s">
        <v>37</v>
      </c>
      <c r="T62" s="2">
        <f t="shared" ref="T62:Y62" si="25">T64+T66+T68+T71</f>
        <v>10</v>
      </c>
      <c r="U62" s="2">
        <f t="shared" si="25"/>
        <v>10</v>
      </c>
      <c r="V62" s="2">
        <f t="shared" si="25"/>
        <v>9</v>
      </c>
      <c r="W62" s="2">
        <f t="shared" si="25"/>
        <v>10</v>
      </c>
      <c r="X62" s="2">
        <f t="shared" si="25"/>
        <v>9</v>
      </c>
      <c r="Y62" s="2">
        <f t="shared" si="25"/>
        <v>9</v>
      </c>
      <c r="Z62" s="2">
        <f t="shared" ref="Z62" si="26">Z64+Z66+Z68+Z71</f>
        <v>9</v>
      </c>
      <c r="AA62" s="43">
        <f>Z62</f>
        <v>9</v>
      </c>
      <c r="AB62" s="37">
        <v>2024</v>
      </c>
      <c r="AC62" s="113"/>
      <c r="AD62" s="92"/>
      <c r="AE62" s="103"/>
      <c r="AF62" s="93"/>
      <c r="AG62" s="103"/>
      <c r="AH62" s="93"/>
    </row>
    <row r="63" spans="1:34" s="62" customFormat="1" ht="31.5" x14ac:dyDescent="0.25">
      <c r="A63" s="48" t="s">
        <v>18</v>
      </c>
      <c r="B63" s="48" t="s">
        <v>18</v>
      </c>
      <c r="C63" s="48" t="s">
        <v>22</v>
      </c>
      <c r="D63" s="48" t="s">
        <v>18</v>
      </c>
      <c r="E63" s="48" t="s">
        <v>21</v>
      </c>
      <c r="F63" s="48" t="s">
        <v>18</v>
      </c>
      <c r="G63" s="48" t="s">
        <v>22</v>
      </c>
      <c r="H63" s="48" t="s">
        <v>19</v>
      </c>
      <c r="I63" s="48" t="s">
        <v>24</v>
      </c>
      <c r="J63" s="48" t="s">
        <v>18</v>
      </c>
      <c r="K63" s="48" t="s">
        <v>18</v>
      </c>
      <c r="L63" s="48" t="s">
        <v>19</v>
      </c>
      <c r="M63" s="48" t="s">
        <v>42</v>
      </c>
      <c r="N63" s="48" t="s">
        <v>42</v>
      </c>
      <c r="O63" s="48" t="s">
        <v>42</v>
      </c>
      <c r="P63" s="48" t="s">
        <v>42</v>
      </c>
      <c r="Q63" s="48" t="s">
        <v>42</v>
      </c>
      <c r="R63" s="146" t="s">
        <v>81</v>
      </c>
      <c r="S63" s="49" t="s">
        <v>0</v>
      </c>
      <c r="T63" s="1">
        <f>1417.5-141.8-26.5</f>
        <v>1249.2</v>
      </c>
      <c r="U63" s="1">
        <f>1000-88.8-46.3</f>
        <v>864.90000000000009</v>
      </c>
      <c r="V63" s="1">
        <f>1000-374-115</f>
        <v>511</v>
      </c>
      <c r="W63" s="1">
        <f>1000-476.5</f>
        <v>523.5</v>
      </c>
      <c r="X63" s="1">
        <f>1000-50-74.8-218.4-87.8</f>
        <v>569.00000000000011</v>
      </c>
      <c r="Y63" s="1">
        <f>1000-381.1</f>
        <v>618.9</v>
      </c>
      <c r="Z63" s="1">
        <v>700</v>
      </c>
      <c r="AA63" s="53">
        <f>SUM(T63:Z63)</f>
        <v>5036.5</v>
      </c>
      <c r="AB63" s="52">
        <v>2024</v>
      </c>
      <c r="AC63" s="105"/>
      <c r="AD63" s="61"/>
      <c r="AE63" s="61"/>
    </row>
    <row r="64" spans="1:34" s="45" customFormat="1" ht="31.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138" t="s">
        <v>82</v>
      </c>
      <c r="S64" s="37" t="s">
        <v>37</v>
      </c>
      <c r="T64" s="2">
        <v>3</v>
      </c>
      <c r="U64" s="2">
        <v>3</v>
      </c>
      <c r="V64" s="2">
        <v>2</v>
      </c>
      <c r="W64" s="2">
        <v>2</v>
      </c>
      <c r="X64" s="2">
        <v>1</v>
      </c>
      <c r="Y64" s="40">
        <v>2</v>
      </c>
      <c r="Z64" s="2">
        <v>2</v>
      </c>
      <c r="AA64" s="41">
        <v>2</v>
      </c>
      <c r="AB64" s="37">
        <v>2024</v>
      </c>
      <c r="AC64" s="113"/>
      <c r="AD64" s="92"/>
      <c r="AE64" s="92"/>
    </row>
    <row r="65" spans="1:34" s="62" customFormat="1" ht="31.5" x14ac:dyDescent="0.25">
      <c r="A65" s="48" t="s">
        <v>18</v>
      </c>
      <c r="B65" s="48" t="s">
        <v>18</v>
      </c>
      <c r="C65" s="48" t="s">
        <v>24</v>
      </c>
      <c r="D65" s="48" t="s">
        <v>18</v>
      </c>
      <c r="E65" s="48" t="s">
        <v>21</v>
      </c>
      <c r="F65" s="48" t="s">
        <v>18</v>
      </c>
      <c r="G65" s="48" t="s">
        <v>22</v>
      </c>
      <c r="H65" s="48" t="s">
        <v>19</v>
      </c>
      <c r="I65" s="48" t="s">
        <v>24</v>
      </c>
      <c r="J65" s="48" t="s">
        <v>18</v>
      </c>
      <c r="K65" s="48" t="s">
        <v>18</v>
      </c>
      <c r="L65" s="48" t="s">
        <v>19</v>
      </c>
      <c r="M65" s="48" t="s">
        <v>42</v>
      </c>
      <c r="N65" s="48" t="s">
        <v>42</v>
      </c>
      <c r="O65" s="48" t="s">
        <v>42</v>
      </c>
      <c r="P65" s="48" t="s">
        <v>42</v>
      </c>
      <c r="Q65" s="48" t="s">
        <v>42</v>
      </c>
      <c r="R65" s="146" t="s">
        <v>83</v>
      </c>
      <c r="S65" s="49" t="s">
        <v>0</v>
      </c>
      <c r="T65" s="1">
        <f>1115-77.4</f>
        <v>1037.5999999999999</v>
      </c>
      <c r="U65" s="1">
        <f>1100-208-27.6</f>
        <v>864.4</v>
      </c>
      <c r="V65" s="1">
        <f>1100-205.4</f>
        <v>894.6</v>
      </c>
      <c r="W65" s="1">
        <f>1100-302.2</f>
        <v>797.8</v>
      </c>
      <c r="X65" s="1">
        <f>1100+15-1.3</f>
        <v>1113.7</v>
      </c>
      <c r="Y65" s="1">
        <f>1100+30</f>
        <v>1130</v>
      </c>
      <c r="Z65" s="1">
        <v>1100</v>
      </c>
      <c r="AA65" s="53">
        <f>SUM(T65:Z65)</f>
        <v>6938.0999999999995</v>
      </c>
      <c r="AB65" s="52">
        <v>2024</v>
      </c>
      <c r="AC65" s="31"/>
      <c r="AD65" s="61"/>
      <c r="AE65" s="61"/>
    </row>
    <row r="66" spans="1:34" s="45" customFormat="1" ht="30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138" t="s">
        <v>84</v>
      </c>
      <c r="S66" s="37" t="s">
        <v>37</v>
      </c>
      <c r="T66" s="40">
        <v>4</v>
      </c>
      <c r="U66" s="40">
        <v>4</v>
      </c>
      <c r="V66" s="40">
        <v>4</v>
      </c>
      <c r="W66" s="40">
        <v>4</v>
      </c>
      <c r="X66" s="40">
        <v>4</v>
      </c>
      <c r="Y66" s="40">
        <v>4</v>
      </c>
      <c r="Z66" s="40">
        <v>4</v>
      </c>
      <c r="AA66" s="43">
        <v>4</v>
      </c>
      <c r="AB66" s="37">
        <v>2024</v>
      </c>
      <c r="AC66" s="114"/>
      <c r="AD66" s="100"/>
      <c r="AE66" s="94"/>
    </row>
    <row r="67" spans="1:34" s="62" customFormat="1" ht="31.5" x14ac:dyDescent="0.25">
      <c r="A67" s="48" t="s">
        <v>18</v>
      </c>
      <c r="B67" s="48" t="s">
        <v>18</v>
      </c>
      <c r="C67" s="48" t="s">
        <v>21</v>
      </c>
      <c r="D67" s="48" t="s">
        <v>18</v>
      </c>
      <c r="E67" s="48" t="s">
        <v>21</v>
      </c>
      <c r="F67" s="48" t="s">
        <v>18</v>
      </c>
      <c r="G67" s="48" t="s">
        <v>22</v>
      </c>
      <c r="H67" s="48" t="s">
        <v>19</v>
      </c>
      <c r="I67" s="48" t="s">
        <v>24</v>
      </c>
      <c r="J67" s="48" t="s">
        <v>18</v>
      </c>
      <c r="K67" s="48" t="s">
        <v>18</v>
      </c>
      <c r="L67" s="48" t="s">
        <v>19</v>
      </c>
      <c r="M67" s="48" t="s">
        <v>42</v>
      </c>
      <c r="N67" s="48" t="s">
        <v>42</v>
      </c>
      <c r="O67" s="48" t="s">
        <v>42</v>
      </c>
      <c r="P67" s="48" t="s">
        <v>42</v>
      </c>
      <c r="Q67" s="48" t="s">
        <v>42</v>
      </c>
      <c r="R67" s="146" t="s">
        <v>83</v>
      </c>
      <c r="S67" s="49" t="s">
        <v>0</v>
      </c>
      <c r="T67" s="1">
        <f>962.3-96.3-88.8</f>
        <v>777.2</v>
      </c>
      <c r="U67" s="1">
        <f>800-392-1.6</f>
        <v>406.4</v>
      </c>
      <c r="V67" s="1">
        <f>800-126</f>
        <v>674</v>
      </c>
      <c r="W67" s="1">
        <f>800+155</f>
        <v>955</v>
      </c>
      <c r="X67" s="1">
        <f>800+400+264.9-204.9-21</f>
        <v>1239</v>
      </c>
      <c r="Y67" s="1">
        <f>800+101.6-218.3-30</f>
        <v>653.29999999999995</v>
      </c>
      <c r="Z67" s="1">
        <v>800</v>
      </c>
      <c r="AA67" s="53">
        <f>SUM(T67:Z67)</f>
        <v>5504.9</v>
      </c>
      <c r="AB67" s="52">
        <v>2024</v>
      </c>
      <c r="AC67" s="107"/>
    </row>
    <row r="68" spans="1:34" s="62" customFormat="1" ht="31.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138" t="s">
        <v>85</v>
      </c>
      <c r="S68" s="37" t="s">
        <v>37</v>
      </c>
      <c r="T68" s="40">
        <v>2</v>
      </c>
      <c r="U68" s="40">
        <v>2</v>
      </c>
      <c r="V68" s="40">
        <v>2</v>
      </c>
      <c r="W68" s="40">
        <v>3</v>
      </c>
      <c r="X68" s="40">
        <v>3</v>
      </c>
      <c r="Y68" s="40">
        <v>2</v>
      </c>
      <c r="Z68" s="40">
        <v>2</v>
      </c>
      <c r="AA68" s="43">
        <v>2</v>
      </c>
      <c r="AB68" s="37">
        <v>2024</v>
      </c>
      <c r="AC68" s="31"/>
    </row>
    <row r="69" spans="1:34" s="45" customFormat="1" ht="47.25" hidden="1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68" t="s">
        <v>86</v>
      </c>
      <c r="S69" s="57" t="s">
        <v>8</v>
      </c>
      <c r="T69" s="58">
        <v>0</v>
      </c>
      <c r="U69" s="58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9">
        <f>T69+U69+V69+W69+X69+Y69</f>
        <v>0</v>
      </c>
      <c r="AB69" s="21">
        <v>2023</v>
      </c>
      <c r="AC69" s="114"/>
      <c r="AD69" s="89"/>
      <c r="AE69" s="92"/>
    </row>
    <row r="70" spans="1:34" s="62" customFormat="1" ht="31.5" x14ac:dyDescent="0.25">
      <c r="A70" s="48" t="s">
        <v>18</v>
      </c>
      <c r="B70" s="48" t="s">
        <v>18</v>
      </c>
      <c r="C70" s="48" t="s">
        <v>25</v>
      </c>
      <c r="D70" s="48" t="s">
        <v>18</v>
      </c>
      <c r="E70" s="48" t="s">
        <v>21</v>
      </c>
      <c r="F70" s="48" t="s">
        <v>18</v>
      </c>
      <c r="G70" s="48" t="s">
        <v>22</v>
      </c>
      <c r="H70" s="48" t="s">
        <v>19</v>
      </c>
      <c r="I70" s="48" t="s">
        <v>24</v>
      </c>
      <c r="J70" s="48" t="s">
        <v>18</v>
      </c>
      <c r="K70" s="48" t="s">
        <v>18</v>
      </c>
      <c r="L70" s="48" t="s">
        <v>19</v>
      </c>
      <c r="M70" s="48" t="s">
        <v>42</v>
      </c>
      <c r="N70" s="48" t="s">
        <v>42</v>
      </c>
      <c r="O70" s="48" t="s">
        <v>42</v>
      </c>
      <c r="P70" s="48" t="s">
        <v>42</v>
      </c>
      <c r="Q70" s="48" t="s">
        <v>42</v>
      </c>
      <c r="R70" s="146" t="s">
        <v>87</v>
      </c>
      <c r="S70" s="49" t="s">
        <v>0</v>
      </c>
      <c r="T70" s="1">
        <f>646.8+300+1489-55+86.2-453.6</f>
        <v>2013.4</v>
      </c>
      <c r="U70" s="1">
        <f>600+369.3+0.6+20-270.2</f>
        <v>719.7</v>
      </c>
      <c r="V70" s="1">
        <f>600-42.7-13</f>
        <v>544.29999999999995</v>
      </c>
      <c r="W70" s="1">
        <f>600+100+91</f>
        <v>791</v>
      </c>
      <c r="X70" s="1">
        <f>1190-10.7</f>
        <v>1179.3</v>
      </c>
      <c r="Y70" s="1">
        <f>1390-175.5</f>
        <v>1214.5</v>
      </c>
      <c r="Z70" s="1">
        <v>1340</v>
      </c>
      <c r="AA70" s="53">
        <f>SUM(T70:Z70)</f>
        <v>7802.2000000000007</v>
      </c>
      <c r="AB70" s="52">
        <v>2024</v>
      </c>
      <c r="AC70" s="107"/>
    </row>
    <row r="71" spans="1:34" s="62" customFormat="1" ht="31.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138" t="s">
        <v>88</v>
      </c>
      <c r="S71" s="37" t="s">
        <v>37</v>
      </c>
      <c r="T71" s="40">
        <v>1</v>
      </c>
      <c r="U71" s="40">
        <v>1</v>
      </c>
      <c r="V71" s="40">
        <v>1</v>
      </c>
      <c r="W71" s="40">
        <v>1</v>
      </c>
      <c r="X71" s="40">
        <v>1</v>
      </c>
      <c r="Y71" s="40">
        <v>1</v>
      </c>
      <c r="Z71" s="40">
        <v>1</v>
      </c>
      <c r="AA71" s="43">
        <v>1</v>
      </c>
      <c r="AB71" s="37">
        <v>2024</v>
      </c>
      <c r="AC71" s="31"/>
    </row>
    <row r="72" spans="1:34" s="62" customFormat="1" ht="31.5" x14ac:dyDescent="0.25">
      <c r="A72" s="48"/>
      <c r="B72" s="48"/>
      <c r="C72" s="48"/>
      <c r="D72" s="48" t="s">
        <v>18</v>
      </c>
      <c r="E72" s="48" t="s">
        <v>21</v>
      </c>
      <c r="F72" s="48" t="s">
        <v>18</v>
      </c>
      <c r="G72" s="48" t="s">
        <v>22</v>
      </c>
      <c r="H72" s="48" t="s">
        <v>19</v>
      </c>
      <c r="I72" s="48" t="s">
        <v>24</v>
      </c>
      <c r="J72" s="48" t="s">
        <v>18</v>
      </c>
      <c r="K72" s="48" t="s">
        <v>18</v>
      </c>
      <c r="L72" s="48" t="s">
        <v>19</v>
      </c>
      <c r="M72" s="48" t="s">
        <v>18</v>
      </c>
      <c r="N72" s="48" t="s">
        <v>18</v>
      </c>
      <c r="O72" s="48" t="s">
        <v>18</v>
      </c>
      <c r="P72" s="48" t="s">
        <v>18</v>
      </c>
      <c r="Q72" s="48" t="s">
        <v>18</v>
      </c>
      <c r="R72" s="66" t="s">
        <v>89</v>
      </c>
      <c r="S72" s="52" t="s">
        <v>0</v>
      </c>
      <c r="T72" s="53">
        <f t="shared" ref="T72:Y72" si="27">T74+T80+T89</f>
        <v>3922.5999999999995</v>
      </c>
      <c r="U72" s="53">
        <f t="shared" si="27"/>
        <v>4901.3</v>
      </c>
      <c r="V72" s="53">
        <f>V74+V80+V89</f>
        <v>5627.7999999999993</v>
      </c>
      <c r="W72" s="53">
        <f t="shared" si="27"/>
        <v>5467.3</v>
      </c>
      <c r="X72" s="53">
        <f t="shared" si="27"/>
        <v>7139.3999999999987</v>
      </c>
      <c r="Y72" s="53">
        <f t="shared" si="27"/>
        <v>2247.1</v>
      </c>
      <c r="Z72" s="53">
        <f t="shared" ref="Z72" si="28">Z74+Z80+Z89</f>
        <v>3345.3</v>
      </c>
      <c r="AA72" s="53">
        <f>SUM(T72:Z72)</f>
        <v>32650.799999999996</v>
      </c>
      <c r="AB72" s="52">
        <v>2024</v>
      </c>
      <c r="AC72" s="107"/>
    </row>
    <row r="73" spans="1:34" s="45" customFormat="1" ht="31.1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69" t="s">
        <v>90</v>
      </c>
      <c r="S73" s="148" t="s">
        <v>37</v>
      </c>
      <c r="T73" s="2">
        <f t="shared" ref="T73:Y73" si="29">T79+T88+T93</f>
        <v>20</v>
      </c>
      <c r="U73" s="2">
        <f t="shared" si="29"/>
        <v>20</v>
      </c>
      <c r="V73" s="2">
        <f t="shared" si="29"/>
        <v>20</v>
      </c>
      <c r="W73" s="2">
        <f t="shared" si="29"/>
        <v>20</v>
      </c>
      <c r="X73" s="2">
        <f t="shared" si="29"/>
        <v>20</v>
      </c>
      <c r="Y73" s="2">
        <f t="shared" si="29"/>
        <v>20</v>
      </c>
      <c r="Z73" s="2">
        <f t="shared" ref="Z73" si="30">Z79+Z88+Z93</f>
        <v>20</v>
      </c>
      <c r="AA73" s="43">
        <v>20</v>
      </c>
      <c r="AB73" s="37">
        <v>2024</v>
      </c>
      <c r="AC73" s="31"/>
    </row>
    <row r="74" spans="1:34" s="62" customFormat="1" ht="15.75" customHeight="1" x14ac:dyDescent="0.25">
      <c r="A74" s="48" t="s">
        <v>18</v>
      </c>
      <c r="B74" s="48" t="s">
        <v>18</v>
      </c>
      <c r="C74" s="48" t="s">
        <v>22</v>
      </c>
      <c r="D74" s="48" t="s">
        <v>18</v>
      </c>
      <c r="E74" s="48" t="s">
        <v>21</v>
      </c>
      <c r="F74" s="48" t="s">
        <v>18</v>
      </c>
      <c r="G74" s="48" t="s">
        <v>22</v>
      </c>
      <c r="H74" s="48" t="s">
        <v>19</v>
      </c>
      <c r="I74" s="48" t="s">
        <v>24</v>
      </c>
      <c r="J74" s="48" t="s">
        <v>18</v>
      </c>
      <c r="K74" s="48" t="s">
        <v>18</v>
      </c>
      <c r="L74" s="48" t="s">
        <v>19</v>
      </c>
      <c r="M74" s="48" t="s">
        <v>18</v>
      </c>
      <c r="N74" s="48" t="s">
        <v>18</v>
      </c>
      <c r="O74" s="48" t="s">
        <v>18</v>
      </c>
      <c r="P74" s="48" t="s">
        <v>18</v>
      </c>
      <c r="Q74" s="48" t="s">
        <v>18</v>
      </c>
      <c r="R74" s="153" t="s">
        <v>91</v>
      </c>
      <c r="S74" s="157" t="s">
        <v>0</v>
      </c>
      <c r="T74" s="1">
        <f>SUM(T75:T78)</f>
        <v>1324.5</v>
      </c>
      <c r="U74" s="1">
        <f t="shared" ref="U74:Z74" si="31">SUM(U75:U78)</f>
        <v>1333.6999999999998</v>
      </c>
      <c r="V74" s="1">
        <f t="shared" si="31"/>
        <v>855.10000000000014</v>
      </c>
      <c r="W74" s="1">
        <f t="shared" si="31"/>
        <v>718.9</v>
      </c>
      <c r="X74" s="1">
        <f t="shared" si="31"/>
        <v>5138.4999999999991</v>
      </c>
      <c r="Y74" s="1">
        <f t="shared" si="31"/>
        <v>619.5</v>
      </c>
      <c r="Z74" s="1">
        <f t="shared" si="31"/>
        <v>919.5</v>
      </c>
      <c r="AA74" s="53">
        <f>SUM(T74:Z74)</f>
        <v>10909.699999999999</v>
      </c>
      <c r="AB74" s="52">
        <v>2024</v>
      </c>
      <c r="AC74" s="106"/>
      <c r="AD74" s="96"/>
      <c r="AE74" s="96"/>
      <c r="AG74" s="97"/>
      <c r="AH74" s="96"/>
    </row>
    <row r="75" spans="1:34" s="62" customFormat="1" x14ac:dyDescent="0.25">
      <c r="A75" s="48" t="s">
        <v>18</v>
      </c>
      <c r="B75" s="48" t="s">
        <v>18</v>
      </c>
      <c r="C75" s="48" t="s">
        <v>22</v>
      </c>
      <c r="D75" s="48" t="s">
        <v>18</v>
      </c>
      <c r="E75" s="48" t="s">
        <v>21</v>
      </c>
      <c r="F75" s="48" t="s">
        <v>18</v>
      </c>
      <c r="G75" s="48" t="s">
        <v>22</v>
      </c>
      <c r="H75" s="48" t="s">
        <v>19</v>
      </c>
      <c r="I75" s="48" t="s">
        <v>24</v>
      </c>
      <c r="J75" s="48" t="s">
        <v>18</v>
      </c>
      <c r="K75" s="48" t="s">
        <v>18</v>
      </c>
      <c r="L75" s="48" t="s">
        <v>19</v>
      </c>
      <c r="M75" s="48" t="s">
        <v>18</v>
      </c>
      <c r="N75" s="48" t="s">
        <v>18</v>
      </c>
      <c r="O75" s="48" t="s">
        <v>23</v>
      </c>
      <c r="P75" s="48" t="s">
        <v>19</v>
      </c>
      <c r="Q75" s="48" t="s">
        <v>24</v>
      </c>
      <c r="R75" s="154"/>
      <c r="S75" s="158"/>
      <c r="T75" s="1">
        <v>0</v>
      </c>
      <c r="U75" s="1">
        <v>0</v>
      </c>
      <c r="V75" s="1">
        <v>0</v>
      </c>
      <c r="W75" s="1">
        <v>0</v>
      </c>
      <c r="X75" s="1">
        <f>99.4-85.5</f>
        <v>13.900000000000006</v>
      </c>
      <c r="Y75" s="1">
        <v>0</v>
      </c>
      <c r="Z75" s="1">
        <v>0</v>
      </c>
      <c r="AA75" s="53">
        <f t="shared" ref="AA75:AA78" si="32">SUM(T75:Z75)</f>
        <v>13.900000000000006</v>
      </c>
      <c r="AB75" s="52">
        <v>2022</v>
      </c>
      <c r="AC75" s="107"/>
    </row>
    <row r="76" spans="1:34" s="62" customFormat="1" x14ac:dyDescent="0.25">
      <c r="A76" s="48" t="s">
        <v>18</v>
      </c>
      <c r="B76" s="48" t="s">
        <v>18</v>
      </c>
      <c r="C76" s="48" t="s">
        <v>22</v>
      </c>
      <c r="D76" s="48" t="s">
        <v>18</v>
      </c>
      <c r="E76" s="48" t="s">
        <v>21</v>
      </c>
      <c r="F76" s="48" t="s">
        <v>18</v>
      </c>
      <c r="G76" s="48" t="s">
        <v>22</v>
      </c>
      <c r="H76" s="48" t="s">
        <v>19</v>
      </c>
      <c r="I76" s="48" t="s">
        <v>24</v>
      </c>
      <c r="J76" s="48" t="s">
        <v>18</v>
      </c>
      <c r="K76" s="48" t="s">
        <v>18</v>
      </c>
      <c r="L76" s="48" t="s">
        <v>19</v>
      </c>
      <c r="M76" s="48" t="s">
        <v>19</v>
      </c>
      <c r="N76" s="48" t="s">
        <v>18</v>
      </c>
      <c r="O76" s="48" t="s">
        <v>23</v>
      </c>
      <c r="P76" s="48" t="s">
        <v>19</v>
      </c>
      <c r="Q76" s="48" t="s">
        <v>24</v>
      </c>
      <c r="R76" s="154"/>
      <c r="S76" s="158"/>
      <c r="T76" s="1">
        <v>0</v>
      </c>
      <c r="U76" s="1">
        <v>0</v>
      </c>
      <c r="V76" s="1">
        <v>0</v>
      </c>
      <c r="W76" s="1">
        <v>0</v>
      </c>
      <c r="X76" s="1">
        <v>4179.7</v>
      </c>
      <c r="Y76" s="1">
        <v>0</v>
      </c>
      <c r="Z76" s="1">
        <v>0</v>
      </c>
      <c r="AA76" s="53">
        <f t="shared" si="32"/>
        <v>4179.7</v>
      </c>
      <c r="AB76" s="52">
        <v>2022</v>
      </c>
      <c r="AC76" s="107"/>
    </row>
    <row r="77" spans="1:34" s="62" customFormat="1" x14ac:dyDescent="0.25">
      <c r="A77" s="48" t="s">
        <v>18</v>
      </c>
      <c r="B77" s="48" t="s">
        <v>18</v>
      </c>
      <c r="C77" s="48" t="s">
        <v>22</v>
      </c>
      <c r="D77" s="48" t="s">
        <v>18</v>
      </c>
      <c r="E77" s="48" t="s">
        <v>21</v>
      </c>
      <c r="F77" s="48" t="s">
        <v>18</v>
      </c>
      <c r="G77" s="48" t="s">
        <v>22</v>
      </c>
      <c r="H77" s="48" t="s">
        <v>19</v>
      </c>
      <c r="I77" s="48" t="s">
        <v>24</v>
      </c>
      <c r="J77" s="48" t="s">
        <v>18</v>
      </c>
      <c r="K77" s="48" t="s">
        <v>18</v>
      </c>
      <c r="L77" s="48" t="s">
        <v>19</v>
      </c>
      <c r="M77" s="48" t="s">
        <v>36</v>
      </c>
      <c r="N77" s="48" t="s">
        <v>18</v>
      </c>
      <c r="O77" s="48" t="s">
        <v>23</v>
      </c>
      <c r="P77" s="48" t="s">
        <v>19</v>
      </c>
      <c r="Q77" s="48" t="s">
        <v>24</v>
      </c>
      <c r="R77" s="154"/>
      <c r="S77" s="158"/>
      <c r="T77" s="1">
        <v>0</v>
      </c>
      <c r="U77" s="1">
        <v>0</v>
      </c>
      <c r="V77" s="1">
        <v>0</v>
      </c>
      <c r="W77" s="1">
        <v>0</v>
      </c>
      <c r="X77" s="1">
        <f>464.5-130.1</f>
        <v>334.4</v>
      </c>
      <c r="Y77" s="1">
        <v>0</v>
      </c>
      <c r="Z77" s="1">
        <v>0</v>
      </c>
      <c r="AA77" s="53">
        <f t="shared" si="32"/>
        <v>334.4</v>
      </c>
      <c r="AB77" s="52">
        <v>2022</v>
      </c>
      <c r="AC77" s="107"/>
    </row>
    <row r="78" spans="1:34" s="62" customFormat="1" x14ac:dyDescent="0.25">
      <c r="A78" s="48" t="s">
        <v>18</v>
      </c>
      <c r="B78" s="48" t="s">
        <v>18</v>
      </c>
      <c r="C78" s="48" t="s">
        <v>22</v>
      </c>
      <c r="D78" s="48" t="s">
        <v>18</v>
      </c>
      <c r="E78" s="48" t="s">
        <v>21</v>
      </c>
      <c r="F78" s="48" t="s">
        <v>18</v>
      </c>
      <c r="G78" s="48" t="s">
        <v>22</v>
      </c>
      <c r="H78" s="48" t="s">
        <v>19</v>
      </c>
      <c r="I78" s="48" t="s">
        <v>24</v>
      </c>
      <c r="J78" s="48" t="s">
        <v>18</v>
      </c>
      <c r="K78" s="48" t="s">
        <v>18</v>
      </c>
      <c r="L78" s="48" t="s">
        <v>19</v>
      </c>
      <c r="M78" s="48" t="s">
        <v>42</v>
      </c>
      <c r="N78" s="48" t="s">
        <v>42</v>
      </c>
      <c r="O78" s="48" t="s">
        <v>42</v>
      </c>
      <c r="P78" s="48" t="s">
        <v>42</v>
      </c>
      <c r="Q78" s="48" t="s">
        <v>42</v>
      </c>
      <c r="R78" s="155"/>
      <c r="S78" s="159"/>
      <c r="T78" s="1">
        <f>2867.4-463.9-79-1000</f>
        <v>1324.5</v>
      </c>
      <c r="U78" s="1">
        <f>1867.4-227.9-273.9-31.9</f>
        <v>1333.6999999999998</v>
      </c>
      <c r="V78" s="1">
        <f>1867.4-1012.3</f>
        <v>855.10000000000014</v>
      </c>
      <c r="W78" s="1">
        <f>619.5+120.1-20.7</f>
        <v>718.9</v>
      </c>
      <c r="X78" s="1">
        <f>620.1-9.6</f>
        <v>610.5</v>
      </c>
      <c r="Y78" s="1">
        <v>619.5</v>
      </c>
      <c r="Z78" s="1">
        <v>919.5</v>
      </c>
      <c r="AA78" s="53">
        <f t="shared" si="32"/>
        <v>6381.7</v>
      </c>
      <c r="AB78" s="52">
        <v>2024</v>
      </c>
      <c r="AC78" s="107"/>
    </row>
    <row r="79" spans="1:34" s="45" customFormat="1" ht="47.25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138" t="s">
        <v>92</v>
      </c>
      <c r="S79" s="37" t="s">
        <v>37</v>
      </c>
      <c r="T79" s="2">
        <v>14</v>
      </c>
      <c r="U79" s="2">
        <v>14</v>
      </c>
      <c r="V79" s="2">
        <v>14</v>
      </c>
      <c r="W79" s="2">
        <v>14</v>
      </c>
      <c r="X79" s="40">
        <v>14</v>
      </c>
      <c r="Y79" s="40">
        <v>14</v>
      </c>
      <c r="Z79" s="40">
        <v>14</v>
      </c>
      <c r="AA79" s="43">
        <v>14</v>
      </c>
      <c r="AB79" s="37">
        <v>2024</v>
      </c>
      <c r="AC79" s="31"/>
    </row>
    <row r="80" spans="1:34" s="62" customFormat="1" x14ac:dyDescent="0.25">
      <c r="A80" s="48" t="s">
        <v>18</v>
      </c>
      <c r="B80" s="48" t="s">
        <v>18</v>
      </c>
      <c r="C80" s="48" t="s">
        <v>24</v>
      </c>
      <c r="D80" s="48" t="s">
        <v>18</v>
      </c>
      <c r="E80" s="48" t="s">
        <v>21</v>
      </c>
      <c r="F80" s="48" t="s">
        <v>18</v>
      </c>
      <c r="G80" s="48" t="s">
        <v>22</v>
      </c>
      <c r="H80" s="48" t="s">
        <v>19</v>
      </c>
      <c r="I80" s="48" t="s">
        <v>24</v>
      </c>
      <c r="J80" s="48" t="s">
        <v>18</v>
      </c>
      <c r="K80" s="48" t="s">
        <v>18</v>
      </c>
      <c r="L80" s="48" t="s">
        <v>19</v>
      </c>
      <c r="M80" s="48" t="s">
        <v>18</v>
      </c>
      <c r="N80" s="48" t="s">
        <v>18</v>
      </c>
      <c r="O80" s="48" t="s">
        <v>18</v>
      </c>
      <c r="P80" s="48" t="s">
        <v>18</v>
      </c>
      <c r="Q80" s="48" t="s">
        <v>18</v>
      </c>
      <c r="R80" s="163" t="s">
        <v>91</v>
      </c>
      <c r="S80" s="157" t="s">
        <v>0</v>
      </c>
      <c r="T80" s="1">
        <f>SUM(T81:T87)</f>
        <v>501.8</v>
      </c>
      <c r="U80" s="1">
        <f t="shared" ref="U80:Z80" si="33">SUM(U81:U87)</f>
        <v>1483.3</v>
      </c>
      <c r="V80" s="1">
        <f t="shared" si="33"/>
        <v>1744.9</v>
      </c>
      <c r="W80" s="1">
        <f t="shared" si="33"/>
        <v>3236.9</v>
      </c>
      <c r="X80" s="1">
        <f t="shared" si="33"/>
        <v>635.20000000000005</v>
      </c>
      <c r="Y80" s="1">
        <f t="shared" si="33"/>
        <v>518.59999999999991</v>
      </c>
      <c r="Z80" s="1">
        <f t="shared" si="33"/>
        <v>870.5</v>
      </c>
      <c r="AA80" s="53">
        <f>SUM(T80:Z80)</f>
        <v>8991.1999999999989</v>
      </c>
      <c r="AB80" s="52">
        <v>2024</v>
      </c>
      <c r="AC80" s="107"/>
    </row>
    <row r="81" spans="1:31" s="62" customFormat="1" x14ac:dyDescent="0.25">
      <c r="A81" s="48" t="s">
        <v>18</v>
      </c>
      <c r="B81" s="48" t="s">
        <v>18</v>
      </c>
      <c r="C81" s="48" t="s">
        <v>24</v>
      </c>
      <c r="D81" s="48" t="s">
        <v>18</v>
      </c>
      <c r="E81" s="48" t="s">
        <v>21</v>
      </c>
      <c r="F81" s="48" t="s">
        <v>18</v>
      </c>
      <c r="G81" s="48" t="s">
        <v>22</v>
      </c>
      <c r="H81" s="48" t="s">
        <v>19</v>
      </c>
      <c r="I81" s="48" t="s">
        <v>24</v>
      </c>
      <c r="J81" s="48" t="s">
        <v>18</v>
      </c>
      <c r="K81" s="48" t="s">
        <v>18</v>
      </c>
      <c r="L81" s="48" t="s">
        <v>19</v>
      </c>
      <c r="M81" s="48" t="s">
        <v>19</v>
      </c>
      <c r="N81" s="48" t="s">
        <v>18</v>
      </c>
      <c r="O81" s="48" t="s">
        <v>20</v>
      </c>
      <c r="P81" s="48" t="s">
        <v>165</v>
      </c>
      <c r="Q81" s="48" t="s">
        <v>18</v>
      </c>
      <c r="R81" s="163"/>
      <c r="S81" s="158"/>
      <c r="T81" s="1">
        <v>0</v>
      </c>
      <c r="U81" s="1">
        <v>685.2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53">
        <f t="shared" ref="AA81:AA87" si="34">SUM(T81:Z81)</f>
        <v>685.2</v>
      </c>
      <c r="AB81" s="52">
        <v>2019</v>
      </c>
      <c r="AC81" s="107"/>
    </row>
    <row r="82" spans="1:31" s="62" customFormat="1" x14ac:dyDescent="0.25">
      <c r="A82" s="48" t="s">
        <v>18</v>
      </c>
      <c r="B82" s="48" t="s">
        <v>18</v>
      </c>
      <c r="C82" s="48" t="s">
        <v>24</v>
      </c>
      <c r="D82" s="48" t="s">
        <v>18</v>
      </c>
      <c r="E82" s="48" t="s">
        <v>21</v>
      </c>
      <c r="F82" s="48" t="s">
        <v>18</v>
      </c>
      <c r="G82" s="48" t="s">
        <v>22</v>
      </c>
      <c r="H82" s="48" t="s">
        <v>19</v>
      </c>
      <c r="I82" s="48" t="s">
        <v>24</v>
      </c>
      <c r="J82" s="48" t="s">
        <v>18</v>
      </c>
      <c r="K82" s="48" t="s">
        <v>18</v>
      </c>
      <c r="L82" s="48" t="s">
        <v>19</v>
      </c>
      <c r="M82" s="48" t="s">
        <v>36</v>
      </c>
      <c r="N82" s="48" t="s">
        <v>18</v>
      </c>
      <c r="O82" s="48" t="s">
        <v>20</v>
      </c>
      <c r="P82" s="48" t="s">
        <v>165</v>
      </c>
      <c r="Q82" s="48" t="s">
        <v>18</v>
      </c>
      <c r="R82" s="163"/>
      <c r="S82" s="158"/>
      <c r="T82" s="1">
        <v>0</v>
      </c>
      <c r="U82" s="1">
        <f>685.2-212.4</f>
        <v>472.80000000000007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53">
        <f t="shared" si="34"/>
        <v>472.80000000000007</v>
      </c>
      <c r="AB82" s="52">
        <v>2019</v>
      </c>
      <c r="AC82" s="107"/>
    </row>
    <row r="83" spans="1:31" s="62" customFormat="1" x14ac:dyDescent="0.25">
      <c r="A83" s="48" t="s">
        <v>18</v>
      </c>
      <c r="B83" s="48" t="s">
        <v>18</v>
      </c>
      <c r="C83" s="48" t="s">
        <v>24</v>
      </c>
      <c r="D83" s="48" t="s">
        <v>18</v>
      </c>
      <c r="E83" s="48" t="s">
        <v>21</v>
      </c>
      <c r="F83" s="48" t="s">
        <v>18</v>
      </c>
      <c r="G83" s="48" t="s">
        <v>22</v>
      </c>
      <c r="H83" s="48" t="s">
        <v>19</v>
      </c>
      <c r="I83" s="48" t="s">
        <v>24</v>
      </c>
      <c r="J83" s="48" t="s">
        <v>18</v>
      </c>
      <c r="K83" s="48" t="s">
        <v>18</v>
      </c>
      <c r="L83" s="48" t="s">
        <v>19</v>
      </c>
      <c r="M83" s="48" t="s">
        <v>19</v>
      </c>
      <c r="N83" s="48" t="s">
        <v>18</v>
      </c>
      <c r="O83" s="48" t="s">
        <v>23</v>
      </c>
      <c r="P83" s="48" t="s">
        <v>19</v>
      </c>
      <c r="Q83" s="48" t="s">
        <v>19</v>
      </c>
      <c r="R83" s="163"/>
      <c r="S83" s="158"/>
      <c r="T83" s="1">
        <v>0</v>
      </c>
      <c r="U83" s="1">
        <v>0</v>
      </c>
      <c r="V83" s="1">
        <v>1100</v>
      </c>
      <c r="W83" s="1">
        <f>0+2308.5</f>
        <v>2308.5</v>
      </c>
      <c r="X83" s="1">
        <v>0</v>
      </c>
      <c r="Y83" s="1">
        <v>0</v>
      </c>
      <c r="Z83" s="1">
        <v>0</v>
      </c>
      <c r="AA83" s="53">
        <f t="shared" si="34"/>
        <v>3408.5</v>
      </c>
      <c r="AB83" s="52">
        <v>2021</v>
      </c>
      <c r="AC83" s="107"/>
    </row>
    <row r="84" spans="1:31" s="62" customFormat="1" x14ac:dyDescent="0.25">
      <c r="A84" s="48" t="s">
        <v>18</v>
      </c>
      <c r="B84" s="48" t="s">
        <v>18</v>
      </c>
      <c r="C84" s="48" t="s">
        <v>24</v>
      </c>
      <c r="D84" s="48" t="s">
        <v>18</v>
      </c>
      <c r="E84" s="48" t="s">
        <v>21</v>
      </c>
      <c r="F84" s="48" t="s">
        <v>18</v>
      </c>
      <c r="G84" s="48" t="s">
        <v>22</v>
      </c>
      <c r="H84" s="48" t="s">
        <v>19</v>
      </c>
      <c r="I84" s="48" t="s">
        <v>24</v>
      </c>
      <c r="J84" s="48" t="s">
        <v>18</v>
      </c>
      <c r="K84" s="48" t="s">
        <v>18</v>
      </c>
      <c r="L84" s="48" t="s">
        <v>19</v>
      </c>
      <c r="M84" s="48" t="s">
        <v>36</v>
      </c>
      <c r="N84" s="48" t="s">
        <v>18</v>
      </c>
      <c r="O84" s="48" t="s">
        <v>23</v>
      </c>
      <c r="P84" s="48" t="s">
        <v>19</v>
      </c>
      <c r="Q84" s="48" t="s">
        <v>19</v>
      </c>
      <c r="R84" s="163"/>
      <c r="S84" s="158"/>
      <c r="T84" s="1">
        <v>0</v>
      </c>
      <c r="U84" s="1">
        <v>0</v>
      </c>
      <c r="V84" s="1">
        <f>149.5-11</f>
        <v>138.5</v>
      </c>
      <c r="W84" s="1">
        <f>0+393.6-49.2</f>
        <v>344.40000000000003</v>
      </c>
      <c r="X84" s="1">
        <v>0</v>
      </c>
      <c r="Y84" s="1">
        <v>0</v>
      </c>
      <c r="Z84" s="1">
        <v>0</v>
      </c>
      <c r="AA84" s="53">
        <f t="shared" si="34"/>
        <v>482.90000000000003</v>
      </c>
      <c r="AB84" s="52">
        <v>2021</v>
      </c>
      <c r="AC84" s="107"/>
    </row>
    <row r="85" spans="1:31" s="62" customFormat="1" ht="15.75" hidden="1" customHeight="1" x14ac:dyDescent="0.25">
      <c r="A85" s="48" t="s">
        <v>18</v>
      </c>
      <c r="B85" s="48" t="s">
        <v>18</v>
      </c>
      <c r="C85" s="48" t="s">
        <v>24</v>
      </c>
      <c r="D85" s="48" t="s">
        <v>18</v>
      </c>
      <c r="E85" s="48" t="s">
        <v>21</v>
      </c>
      <c r="F85" s="48" t="s">
        <v>18</v>
      </c>
      <c r="G85" s="48" t="s">
        <v>22</v>
      </c>
      <c r="H85" s="48" t="s">
        <v>19</v>
      </c>
      <c r="I85" s="48" t="s">
        <v>24</v>
      </c>
      <c r="J85" s="48" t="s">
        <v>18</v>
      </c>
      <c r="K85" s="48" t="s">
        <v>18</v>
      </c>
      <c r="L85" s="48" t="s">
        <v>19</v>
      </c>
      <c r="M85" s="48" t="s">
        <v>18</v>
      </c>
      <c r="N85" s="48" t="s">
        <v>18</v>
      </c>
      <c r="O85" s="48" t="s">
        <v>23</v>
      </c>
      <c r="P85" s="48" t="s">
        <v>19</v>
      </c>
      <c r="Q85" s="48" t="s">
        <v>21</v>
      </c>
      <c r="R85" s="163"/>
      <c r="S85" s="158"/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f>0+61.2-61.2</f>
        <v>0</v>
      </c>
      <c r="Z85" s="1">
        <v>0</v>
      </c>
      <c r="AA85" s="53">
        <f t="shared" si="34"/>
        <v>0</v>
      </c>
      <c r="AB85" s="52">
        <v>2023</v>
      </c>
      <c r="AC85" s="107"/>
    </row>
    <row r="86" spans="1:31" s="62" customFormat="1" ht="15.75" hidden="1" customHeight="1" x14ac:dyDescent="0.25">
      <c r="A86" s="48" t="s">
        <v>18</v>
      </c>
      <c r="B86" s="48" t="s">
        <v>18</v>
      </c>
      <c r="C86" s="48" t="s">
        <v>24</v>
      </c>
      <c r="D86" s="48" t="s">
        <v>18</v>
      </c>
      <c r="E86" s="48" t="s">
        <v>21</v>
      </c>
      <c r="F86" s="48" t="s">
        <v>18</v>
      </c>
      <c r="G86" s="48" t="s">
        <v>22</v>
      </c>
      <c r="H86" s="48" t="s">
        <v>19</v>
      </c>
      <c r="I86" s="48" t="s">
        <v>24</v>
      </c>
      <c r="J86" s="48" t="s">
        <v>18</v>
      </c>
      <c r="K86" s="48" t="s">
        <v>18</v>
      </c>
      <c r="L86" s="48" t="s">
        <v>19</v>
      </c>
      <c r="M86" s="48" t="s">
        <v>36</v>
      </c>
      <c r="N86" s="48" t="s">
        <v>18</v>
      </c>
      <c r="O86" s="48" t="s">
        <v>23</v>
      </c>
      <c r="P86" s="48" t="s">
        <v>19</v>
      </c>
      <c r="Q86" s="48" t="s">
        <v>21</v>
      </c>
      <c r="R86" s="163"/>
      <c r="S86" s="158"/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f>0+286-286</f>
        <v>0</v>
      </c>
      <c r="Z86" s="1">
        <v>0</v>
      </c>
      <c r="AA86" s="53">
        <f t="shared" si="34"/>
        <v>0</v>
      </c>
      <c r="AB86" s="52">
        <v>2023</v>
      </c>
      <c r="AC86" s="107"/>
    </row>
    <row r="87" spans="1:31" s="62" customFormat="1" x14ac:dyDescent="0.25">
      <c r="A87" s="48" t="s">
        <v>18</v>
      </c>
      <c r="B87" s="48" t="s">
        <v>18</v>
      </c>
      <c r="C87" s="48" t="s">
        <v>24</v>
      </c>
      <c r="D87" s="48" t="s">
        <v>18</v>
      </c>
      <c r="E87" s="48" t="s">
        <v>21</v>
      </c>
      <c r="F87" s="48" t="s">
        <v>18</v>
      </c>
      <c r="G87" s="48" t="s">
        <v>22</v>
      </c>
      <c r="H87" s="48" t="s">
        <v>19</v>
      </c>
      <c r="I87" s="48" t="s">
        <v>24</v>
      </c>
      <c r="J87" s="48" t="s">
        <v>18</v>
      </c>
      <c r="K87" s="48" t="s">
        <v>18</v>
      </c>
      <c r="L87" s="48" t="s">
        <v>19</v>
      </c>
      <c r="M87" s="48" t="s">
        <v>42</v>
      </c>
      <c r="N87" s="48" t="s">
        <v>42</v>
      </c>
      <c r="O87" s="48" t="s">
        <v>42</v>
      </c>
      <c r="P87" s="48" t="s">
        <v>42</v>
      </c>
      <c r="Q87" s="48" t="s">
        <v>42</v>
      </c>
      <c r="R87" s="163"/>
      <c r="S87" s="159"/>
      <c r="T87" s="1">
        <v>501.8</v>
      </c>
      <c r="U87" s="1">
        <v>325.3</v>
      </c>
      <c r="V87" s="1">
        <f>870.5-149.5-214.6</f>
        <v>506.4</v>
      </c>
      <c r="W87" s="1">
        <f>870.5-335.7+49.2</f>
        <v>584</v>
      </c>
      <c r="X87" s="1">
        <v>635.20000000000005</v>
      </c>
      <c r="Y87" s="1">
        <f>870.5-61.2-286-4.7</f>
        <v>518.59999999999991</v>
      </c>
      <c r="Z87" s="1">
        <v>870.5</v>
      </c>
      <c r="AA87" s="53">
        <f t="shared" si="34"/>
        <v>3941.7999999999997</v>
      </c>
      <c r="AB87" s="52">
        <v>2024</v>
      </c>
      <c r="AC87" s="107"/>
    </row>
    <row r="88" spans="1:31" s="45" customFormat="1" ht="46.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138" t="s">
        <v>93</v>
      </c>
      <c r="S88" s="37" t="s">
        <v>37</v>
      </c>
      <c r="T88" s="2">
        <v>1</v>
      </c>
      <c r="U88" s="2">
        <v>1</v>
      </c>
      <c r="V88" s="40">
        <v>1</v>
      </c>
      <c r="W88" s="2">
        <v>1</v>
      </c>
      <c r="X88" s="2">
        <v>1</v>
      </c>
      <c r="Y88" s="2">
        <v>1</v>
      </c>
      <c r="Z88" s="2">
        <v>1</v>
      </c>
      <c r="AA88" s="41">
        <v>1</v>
      </c>
      <c r="AB88" s="37">
        <v>2024</v>
      </c>
      <c r="AC88" s="114"/>
      <c r="AD88" s="96"/>
      <c r="AE88" s="44"/>
    </row>
    <row r="89" spans="1:31" s="62" customFormat="1" x14ac:dyDescent="0.25">
      <c r="A89" s="48" t="s">
        <v>18</v>
      </c>
      <c r="B89" s="48" t="s">
        <v>18</v>
      </c>
      <c r="C89" s="48" t="s">
        <v>21</v>
      </c>
      <c r="D89" s="48" t="s">
        <v>18</v>
      </c>
      <c r="E89" s="48" t="s">
        <v>21</v>
      </c>
      <c r="F89" s="48" t="s">
        <v>18</v>
      </c>
      <c r="G89" s="48" t="s">
        <v>22</v>
      </c>
      <c r="H89" s="48" t="s">
        <v>19</v>
      </c>
      <c r="I89" s="48" t="s">
        <v>24</v>
      </c>
      <c r="J89" s="48" t="s">
        <v>18</v>
      </c>
      <c r="K89" s="48" t="s">
        <v>18</v>
      </c>
      <c r="L89" s="48" t="s">
        <v>19</v>
      </c>
      <c r="M89" s="48" t="s">
        <v>18</v>
      </c>
      <c r="N89" s="48" t="s">
        <v>18</v>
      </c>
      <c r="O89" s="48" t="s">
        <v>18</v>
      </c>
      <c r="P89" s="48" t="s">
        <v>18</v>
      </c>
      <c r="Q89" s="48" t="s">
        <v>18</v>
      </c>
      <c r="R89" s="153" t="s">
        <v>94</v>
      </c>
      <c r="S89" s="157" t="s">
        <v>0</v>
      </c>
      <c r="T89" s="1">
        <f>T90+T91+T92</f>
        <v>2096.2999999999997</v>
      </c>
      <c r="U89" s="1">
        <f t="shared" ref="U89:Z89" si="35">U90+U91+U92</f>
        <v>2084.3000000000002</v>
      </c>
      <c r="V89" s="1">
        <f t="shared" si="35"/>
        <v>3027.7999999999997</v>
      </c>
      <c r="W89" s="1">
        <f t="shared" si="35"/>
        <v>1511.5</v>
      </c>
      <c r="X89" s="1">
        <f t="shared" si="35"/>
        <v>1365.7</v>
      </c>
      <c r="Y89" s="1">
        <f t="shared" si="35"/>
        <v>1109</v>
      </c>
      <c r="Z89" s="1">
        <f t="shared" si="35"/>
        <v>1555.3</v>
      </c>
      <c r="AA89" s="53">
        <f>SUM(T89:Z89)</f>
        <v>12749.9</v>
      </c>
      <c r="AB89" s="52">
        <v>2024</v>
      </c>
      <c r="AC89" s="107"/>
    </row>
    <row r="90" spans="1:31" s="62" customFormat="1" x14ac:dyDescent="0.25">
      <c r="A90" s="48" t="s">
        <v>18</v>
      </c>
      <c r="B90" s="48" t="s">
        <v>18</v>
      </c>
      <c r="C90" s="48" t="s">
        <v>21</v>
      </c>
      <c r="D90" s="48" t="s">
        <v>18</v>
      </c>
      <c r="E90" s="48" t="s">
        <v>21</v>
      </c>
      <c r="F90" s="48" t="s">
        <v>18</v>
      </c>
      <c r="G90" s="48" t="s">
        <v>22</v>
      </c>
      <c r="H90" s="48" t="s">
        <v>19</v>
      </c>
      <c r="I90" s="48" t="s">
        <v>24</v>
      </c>
      <c r="J90" s="48" t="s">
        <v>18</v>
      </c>
      <c r="K90" s="48" t="s">
        <v>18</v>
      </c>
      <c r="L90" s="48" t="s">
        <v>19</v>
      </c>
      <c r="M90" s="48" t="s">
        <v>19</v>
      </c>
      <c r="N90" s="48" t="s">
        <v>18</v>
      </c>
      <c r="O90" s="48" t="s">
        <v>23</v>
      </c>
      <c r="P90" s="48" t="s">
        <v>19</v>
      </c>
      <c r="Q90" s="48" t="s">
        <v>20</v>
      </c>
      <c r="R90" s="154"/>
      <c r="S90" s="158"/>
      <c r="T90" s="1">
        <v>0</v>
      </c>
      <c r="U90" s="1">
        <v>0</v>
      </c>
      <c r="V90" s="1">
        <v>1100</v>
      </c>
      <c r="W90" s="1">
        <v>0</v>
      </c>
      <c r="X90" s="1">
        <v>0</v>
      </c>
      <c r="Y90" s="1">
        <v>0</v>
      </c>
      <c r="Z90" s="1">
        <v>0</v>
      </c>
      <c r="AA90" s="53">
        <f t="shared" ref="AA90:AA92" si="36">SUM(T90:Z90)</f>
        <v>1100</v>
      </c>
      <c r="AB90" s="52">
        <v>2020</v>
      </c>
      <c r="AC90" s="107"/>
    </row>
    <row r="91" spans="1:31" s="62" customFormat="1" x14ac:dyDescent="0.25">
      <c r="A91" s="48" t="s">
        <v>18</v>
      </c>
      <c r="B91" s="48" t="s">
        <v>18</v>
      </c>
      <c r="C91" s="48" t="s">
        <v>21</v>
      </c>
      <c r="D91" s="48" t="s">
        <v>18</v>
      </c>
      <c r="E91" s="48" t="s">
        <v>21</v>
      </c>
      <c r="F91" s="48" t="s">
        <v>18</v>
      </c>
      <c r="G91" s="48" t="s">
        <v>22</v>
      </c>
      <c r="H91" s="48" t="s">
        <v>19</v>
      </c>
      <c r="I91" s="48" t="s">
        <v>24</v>
      </c>
      <c r="J91" s="48" t="s">
        <v>18</v>
      </c>
      <c r="K91" s="48" t="s">
        <v>18</v>
      </c>
      <c r="L91" s="48" t="s">
        <v>19</v>
      </c>
      <c r="M91" s="48" t="s">
        <v>36</v>
      </c>
      <c r="N91" s="48" t="s">
        <v>18</v>
      </c>
      <c r="O91" s="48" t="s">
        <v>23</v>
      </c>
      <c r="P91" s="48" t="s">
        <v>19</v>
      </c>
      <c r="Q91" s="48" t="s">
        <v>20</v>
      </c>
      <c r="R91" s="154"/>
      <c r="S91" s="158"/>
      <c r="T91" s="1">
        <v>0</v>
      </c>
      <c r="U91" s="1">
        <v>0</v>
      </c>
      <c r="V91" s="1">
        <f>111-71.5</f>
        <v>39.5</v>
      </c>
      <c r="W91" s="1">
        <v>0</v>
      </c>
      <c r="X91" s="1">
        <v>0</v>
      </c>
      <c r="Y91" s="1">
        <v>0</v>
      </c>
      <c r="Z91" s="1">
        <v>0</v>
      </c>
      <c r="AA91" s="53">
        <f t="shared" si="36"/>
        <v>39.5</v>
      </c>
      <c r="AB91" s="52">
        <v>2020</v>
      </c>
      <c r="AC91" s="107"/>
    </row>
    <row r="92" spans="1:31" s="62" customFormat="1" x14ac:dyDescent="0.25">
      <c r="A92" s="48" t="s">
        <v>18</v>
      </c>
      <c r="B92" s="48" t="s">
        <v>18</v>
      </c>
      <c r="C92" s="48" t="s">
        <v>21</v>
      </c>
      <c r="D92" s="48" t="s">
        <v>18</v>
      </c>
      <c r="E92" s="48" t="s">
        <v>21</v>
      </c>
      <c r="F92" s="48" t="s">
        <v>18</v>
      </c>
      <c r="G92" s="48" t="s">
        <v>22</v>
      </c>
      <c r="H92" s="48" t="s">
        <v>19</v>
      </c>
      <c r="I92" s="48" t="s">
        <v>24</v>
      </c>
      <c r="J92" s="48" t="s">
        <v>18</v>
      </c>
      <c r="K92" s="48" t="s">
        <v>18</v>
      </c>
      <c r="L92" s="48" t="s">
        <v>19</v>
      </c>
      <c r="M92" s="48" t="s">
        <v>42</v>
      </c>
      <c r="N92" s="48" t="s">
        <v>42</v>
      </c>
      <c r="O92" s="48" t="s">
        <v>42</v>
      </c>
      <c r="P92" s="48" t="s">
        <v>42</v>
      </c>
      <c r="Q92" s="48" t="s">
        <v>42</v>
      </c>
      <c r="R92" s="155"/>
      <c r="S92" s="159"/>
      <c r="T92" s="1">
        <f>3665-832.4-710-26.3</f>
        <v>2096.2999999999997</v>
      </c>
      <c r="U92" s="1">
        <f>3624.7-120.3-282.1-1110.8-27.2</f>
        <v>2084.3000000000002</v>
      </c>
      <c r="V92" s="1">
        <f>3624.7-553-111-1072.4</f>
        <v>1888.2999999999997</v>
      </c>
      <c r="W92" s="1">
        <f>1555.3-43.8</f>
        <v>1511.5</v>
      </c>
      <c r="X92" s="1">
        <f>1555.3+120-264.9-44.7</f>
        <v>1365.7</v>
      </c>
      <c r="Y92" s="1">
        <f>1555.3-446.3</f>
        <v>1109</v>
      </c>
      <c r="Z92" s="1">
        <v>1555.3</v>
      </c>
      <c r="AA92" s="53">
        <f t="shared" si="36"/>
        <v>11610.4</v>
      </c>
      <c r="AB92" s="52">
        <v>2024</v>
      </c>
      <c r="AC92" s="107"/>
    </row>
    <row r="93" spans="1:31" s="62" customFormat="1" ht="47.25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138" t="s">
        <v>95</v>
      </c>
      <c r="S93" s="37" t="s">
        <v>37</v>
      </c>
      <c r="T93" s="40">
        <v>5</v>
      </c>
      <c r="U93" s="40">
        <v>5</v>
      </c>
      <c r="V93" s="40">
        <v>5</v>
      </c>
      <c r="W93" s="40">
        <v>5</v>
      </c>
      <c r="X93" s="40">
        <v>5</v>
      </c>
      <c r="Y93" s="40">
        <v>5</v>
      </c>
      <c r="Z93" s="40">
        <v>5</v>
      </c>
      <c r="AA93" s="43">
        <v>5</v>
      </c>
      <c r="AB93" s="37">
        <v>2024</v>
      </c>
      <c r="AC93" s="110"/>
      <c r="AD93" s="96"/>
    </row>
    <row r="94" spans="1:31" s="62" customFormat="1" ht="31.5" x14ac:dyDescent="0.25">
      <c r="A94" s="48"/>
      <c r="B94" s="48"/>
      <c r="C94" s="48"/>
      <c r="D94" s="48" t="s">
        <v>18</v>
      </c>
      <c r="E94" s="48" t="s">
        <v>21</v>
      </c>
      <c r="F94" s="48" t="s">
        <v>18</v>
      </c>
      <c r="G94" s="48" t="s">
        <v>22</v>
      </c>
      <c r="H94" s="48" t="s">
        <v>19</v>
      </c>
      <c r="I94" s="48" t="s">
        <v>24</v>
      </c>
      <c r="J94" s="48" t="s">
        <v>18</v>
      </c>
      <c r="K94" s="48" t="s">
        <v>18</v>
      </c>
      <c r="L94" s="48" t="s">
        <v>19</v>
      </c>
      <c r="M94" s="48" t="s">
        <v>42</v>
      </c>
      <c r="N94" s="48" t="s">
        <v>42</v>
      </c>
      <c r="O94" s="48" t="s">
        <v>42</v>
      </c>
      <c r="P94" s="48" t="s">
        <v>42</v>
      </c>
      <c r="Q94" s="48" t="s">
        <v>42</v>
      </c>
      <c r="R94" s="66" t="s">
        <v>96</v>
      </c>
      <c r="S94" s="52" t="s">
        <v>0</v>
      </c>
      <c r="T94" s="53">
        <f t="shared" ref="T94:Y94" si="37">T98+T102+T106+T110+T114</f>
        <v>4566.3999999999996</v>
      </c>
      <c r="U94" s="53">
        <f>U98+U102+U106+U110+U114</f>
        <v>7525.4000000000005</v>
      </c>
      <c r="V94" s="53">
        <f t="shared" si="37"/>
        <v>8494.6</v>
      </c>
      <c r="W94" s="53">
        <f t="shared" si="37"/>
        <v>11214.1</v>
      </c>
      <c r="X94" s="53">
        <f t="shared" si="37"/>
        <v>6349</v>
      </c>
      <c r="Y94" s="53">
        <f t="shared" si="37"/>
        <v>7800.2000000000007</v>
      </c>
      <c r="Z94" s="53">
        <f t="shared" ref="Z94" si="38">Z98+Z102+Z106+Z110+Z114</f>
        <v>5840.4</v>
      </c>
      <c r="AA94" s="53">
        <f>SUM(T94:Z94)</f>
        <v>51790.1</v>
      </c>
      <c r="AB94" s="52">
        <v>2024</v>
      </c>
      <c r="AC94" s="107"/>
    </row>
    <row r="95" spans="1:31" s="62" customFormat="1" ht="30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142" t="s">
        <v>97</v>
      </c>
      <c r="S95" s="148" t="s">
        <v>37</v>
      </c>
      <c r="T95" s="40">
        <f t="shared" ref="T95:Y96" si="39">T99+T103+T107+T111</f>
        <v>65</v>
      </c>
      <c r="U95" s="40">
        <f t="shared" si="39"/>
        <v>198</v>
      </c>
      <c r="V95" s="40">
        <f t="shared" si="39"/>
        <v>310</v>
      </c>
      <c r="W95" s="40">
        <f t="shared" si="39"/>
        <v>136</v>
      </c>
      <c r="X95" s="40">
        <f t="shared" si="39"/>
        <v>98</v>
      </c>
      <c r="Y95" s="40">
        <f t="shared" si="39"/>
        <v>158</v>
      </c>
      <c r="Z95" s="40">
        <f t="shared" ref="Z95" si="40">Z99+Z103+Z107+Z111</f>
        <v>146</v>
      </c>
      <c r="AA95" s="43">
        <f>SUM(T95:Z95)</f>
        <v>1111</v>
      </c>
      <c r="AB95" s="148">
        <v>2024</v>
      </c>
      <c r="AC95" s="31"/>
    </row>
    <row r="96" spans="1:31" s="62" customFormat="1" ht="31.5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69" t="s">
        <v>98</v>
      </c>
      <c r="S96" s="148" t="s">
        <v>37</v>
      </c>
      <c r="T96" s="40">
        <f t="shared" si="39"/>
        <v>16</v>
      </c>
      <c r="U96" s="40">
        <f t="shared" si="39"/>
        <v>16</v>
      </c>
      <c r="V96" s="40">
        <f t="shared" si="39"/>
        <v>19</v>
      </c>
      <c r="W96" s="40">
        <f t="shared" si="39"/>
        <v>18</v>
      </c>
      <c r="X96" s="40">
        <f t="shared" si="39"/>
        <v>17</v>
      </c>
      <c r="Y96" s="40">
        <f t="shared" si="39"/>
        <v>18</v>
      </c>
      <c r="Z96" s="40">
        <f t="shared" ref="Z96" si="41">Z100+Z104+Z108+Z112</f>
        <v>19</v>
      </c>
      <c r="AA96" s="43">
        <f>Z96</f>
        <v>19</v>
      </c>
      <c r="AB96" s="148">
        <v>2024</v>
      </c>
      <c r="AC96" s="31"/>
    </row>
    <row r="97" spans="1:30" ht="46.9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69" t="s">
        <v>286</v>
      </c>
      <c r="S97" s="148" t="s">
        <v>37</v>
      </c>
      <c r="T97" s="40">
        <f>T101+T105+T109+T115+T113</f>
        <v>25</v>
      </c>
      <c r="U97" s="40">
        <f>U101+U105+U109+U115+U113</f>
        <v>77</v>
      </c>
      <c r="V97" s="40">
        <f>V101+V105+V109+V115+V113</f>
        <v>74</v>
      </c>
      <c r="W97" s="40">
        <f t="shared" ref="W97:Y97" si="42">W101+W105+W109+W115+W113</f>
        <v>63</v>
      </c>
      <c r="X97" s="40">
        <f t="shared" si="42"/>
        <v>60</v>
      </c>
      <c r="Y97" s="40">
        <f t="shared" si="42"/>
        <v>27</v>
      </c>
      <c r="Z97" s="40">
        <f t="shared" ref="Z97" si="43">Z101+Z105+Z109+Z115+Z113</f>
        <v>36</v>
      </c>
      <c r="AA97" s="43">
        <f>SUM(T97:Z97)</f>
        <v>362</v>
      </c>
      <c r="AB97" s="148">
        <v>2024</v>
      </c>
      <c r="AC97" s="110"/>
      <c r="AD97" s="89"/>
    </row>
    <row r="98" spans="1:30" ht="31.5" x14ac:dyDescent="0.25">
      <c r="A98" s="48" t="s">
        <v>18</v>
      </c>
      <c r="B98" s="48" t="s">
        <v>18</v>
      </c>
      <c r="C98" s="48" t="s">
        <v>22</v>
      </c>
      <c r="D98" s="48" t="s">
        <v>18</v>
      </c>
      <c r="E98" s="48" t="s">
        <v>21</v>
      </c>
      <c r="F98" s="48" t="s">
        <v>18</v>
      </c>
      <c r="G98" s="48" t="s">
        <v>22</v>
      </c>
      <c r="H98" s="48" t="s">
        <v>19</v>
      </c>
      <c r="I98" s="48" t="s">
        <v>24</v>
      </c>
      <c r="J98" s="48" t="s">
        <v>18</v>
      </c>
      <c r="K98" s="48" t="s">
        <v>18</v>
      </c>
      <c r="L98" s="48" t="s">
        <v>19</v>
      </c>
      <c r="M98" s="48" t="s">
        <v>42</v>
      </c>
      <c r="N98" s="48" t="s">
        <v>42</v>
      </c>
      <c r="O98" s="48" t="s">
        <v>42</v>
      </c>
      <c r="P98" s="48" t="s">
        <v>42</v>
      </c>
      <c r="Q98" s="48" t="s">
        <v>42</v>
      </c>
      <c r="R98" s="146" t="s">
        <v>99</v>
      </c>
      <c r="S98" s="49" t="s">
        <v>0</v>
      </c>
      <c r="T98" s="1">
        <f>1780.9-223.4+140-15.2</f>
        <v>1682.3</v>
      </c>
      <c r="U98" s="1">
        <f>1650-73+745.2</f>
        <v>2322.1999999999998</v>
      </c>
      <c r="V98" s="1">
        <v>1650</v>
      </c>
      <c r="W98" s="1">
        <f>1500+855.8+1378.8-389.3</f>
        <v>3345.3</v>
      </c>
      <c r="X98" s="1">
        <f>1500-25.2-262.4</f>
        <v>1212.4000000000001</v>
      </c>
      <c r="Y98" s="1">
        <f>1500+717</f>
        <v>2217</v>
      </c>
      <c r="Z98" s="1">
        <v>1900</v>
      </c>
      <c r="AA98" s="53">
        <f>SUM(T98:Z98)</f>
        <v>14329.199999999999</v>
      </c>
      <c r="AB98" s="52">
        <v>2024</v>
      </c>
      <c r="AC98" s="107"/>
    </row>
    <row r="99" spans="1:30" ht="46.1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69" t="s">
        <v>100</v>
      </c>
      <c r="S99" s="148" t="s">
        <v>37</v>
      </c>
      <c r="T99" s="2">
        <v>33</v>
      </c>
      <c r="U99" s="2">
        <v>38</v>
      </c>
      <c r="V99" s="2">
        <v>20</v>
      </c>
      <c r="W99" s="2">
        <v>27</v>
      </c>
      <c r="X99" s="2">
        <v>19</v>
      </c>
      <c r="Y99" s="2">
        <v>19</v>
      </c>
      <c r="Z99" s="2">
        <v>20</v>
      </c>
      <c r="AA99" s="43">
        <f>SUM(T99:Z99)</f>
        <v>176</v>
      </c>
      <c r="AB99" s="37">
        <v>2024</v>
      </c>
      <c r="AC99" s="31"/>
    </row>
    <row r="100" spans="1:30" ht="31.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69" t="s">
        <v>101</v>
      </c>
      <c r="S100" s="148" t="s">
        <v>37</v>
      </c>
      <c r="T100" s="2">
        <v>4</v>
      </c>
      <c r="U100" s="2">
        <v>4</v>
      </c>
      <c r="V100" s="2">
        <v>4</v>
      </c>
      <c r="W100" s="2">
        <v>4</v>
      </c>
      <c r="X100" s="2">
        <v>4</v>
      </c>
      <c r="Y100" s="2">
        <v>6</v>
      </c>
      <c r="Z100" s="2">
        <v>4</v>
      </c>
      <c r="AA100" s="41">
        <v>4</v>
      </c>
      <c r="AB100" s="37">
        <v>2024</v>
      </c>
      <c r="AC100" s="31"/>
    </row>
    <row r="101" spans="1:30" ht="48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142" t="s">
        <v>287</v>
      </c>
      <c r="S101" s="148" t="s">
        <v>37</v>
      </c>
      <c r="T101" s="40">
        <v>0</v>
      </c>
      <c r="U101" s="40">
        <v>29</v>
      </c>
      <c r="V101" s="40">
        <v>25</v>
      </c>
      <c r="W101" s="40">
        <v>17</v>
      </c>
      <c r="X101" s="40">
        <v>15</v>
      </c>
      <c r="Y101" s="40">
        <v>7</v>
      </c>
      <c r="Z101" s="40">
        <v>6</v>
      </c>
      <c r="AA101" s="43">
        <f>SUM(T101:Z101)</f>
        <v>99</v>
      </c>
      <c r="AB101" s="37">
        <v>2024</v>
      </c>
      <c r="AC101" s="110"/>
      <c r="AD101" s="89"/>
    </row>
    <row r="102" spans="1:30" ht="31.5" x14ac:dyDescent="0.25">
      <c r="A102" s="48" t="s">
        <v>18</v>
      </c>
      <c r="B102" s="48" t="s">
        <v>18</v>
      </c>
      <c r="C102" s="48" t="s">
        <v>24</v>
      </c>
      <c r="D102" s="48" t="s">
        <v>18</v>
      </c>
      <c r="E102" s="48" t="s">
        <v>21</v>
      </c>
      <c r="F102" s="48" t="s">
        <v>18</v>
      </c>
      <c r="G102" s="48" t="s">
        <v>22</v>
      </c>
      <c r="H102" s="48" t="s">
        <v>19</v>
      </c>
      <c r="I102" s="48" t="s">
        <v>24</v>
      </c>
      <c r="J102" s="48" t="s">
        <v>18</v>
      </c>
      <c r="K102" s="48" t="s">
        <v>18</v>
      </c>
      <c r="L102" s="48" t="s">
        <v>19</v>
      </c>
      <c r="M102" s="48" t="s">
        <v>42</v>
      </c>
      <c r="N102" s="48" t="s">
        <v>42</v>
      </c>
      <c r="O102" s="48" t="s">
        <v>42</v>
      </c>
      <c r="P102" s="48" t="s">
        <v>42</v>
      </c>
      <c r="Q102" s="48" t="s">
        <v>42</v>
      </c>
      <c r="R102" s="146" t="s">
        <v>102</v>
      </c>
      <c r="S102" s="49" t="s">
        <v>0</v>
      </c>
      <c r="T102" s="1">
        <f>1051.4-28.4-48.1</f>
        <v>974.90000000000009</v>
      </c>
      <c r="U102" s="1">
        <f>1450-14.6</f>
        <v>1435.4</v>
      </c>
      <c r="V102" s="1">
        <f>1450+1054.3-450.6</f>
        <v>2053.7000000000003</v>
      </c>
      <c r="W102" s="1">
        <f>1500+1001+150</f>
        <v>2651</v>
      </c>
      <c r="X102" s="1">
        <f>1500+722-400-410</f>
        <v>1412</v>
      </c>
      <c r="Y102" s="1">
        <f>1500-30+100+130</f>
        <v>1700</v>
      </c>
      <c r="Z102" s="1">
        <v>1500</v>
      </c>
      <c r="AA102" s="53">
        <f>SUM(T102:Z102)</f>
        <v>11727</v>
      </c>
      <c r="AB102" s="52">
        <v>2024</v>
      </c>
      <c r="AC102" s="106"/>
      <c r="AD102" s="96"/>
    </row>
    <row r="103" spans="1:30" ht="48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69" t="s">
        <v>232</v>
      </c>
      <c r="S103" s="148" t="s">
        <v>37</v>
      </c>
      <c r="T103" s="40">
        <v>4</v>
      </c>
      <c r="U103" s="40">
        <v>58</v>
      </c>
      <c r="V103" s="40">
        <v>0</v>
      </c>
      <c r="W103" s="40">
        <v>19</v>
      </c>
      <c r="X103" s="40">
        <v>0</v>
      </c>
      <c r="Y103" s="40">
        <v>5</v>
      </c>
      <c r="Z103" s="40">
        <v>16</v>
      </c>
      <c r="AA103" s="43">
        <f>SUM(T103:Z103)</f>
        <v>102</v>
      </c>
      <c r="AB103" s="37">
        <v>2024</v>
      </c>
      <c r="AC103" s="31"/>
    </row>
    <row r="104" spans="1:30" s="8" customFormat="1" ht="31.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69" t="s">
        <v>233</v>
      </c>
      <c r="S104" s="148" t="s">
        <v>37</v>
      </c>
      <c r="T104" s="40">
        <v>5</v>
      </c>
      <c r="U104" s="40">
        <v>5</v>
      </c>
      <c r="V104" s="40">
        <v>6</v>
      </c>
      <c r="W104" s="40">
        <v>6</v>
      </c>
      <c r="X104" s="40">
        <v>6</v>
      </c>
      <c r="Y104" s="40">
        <v>7</v>
      </c>
      <c r="Z104" s="40">
        <v>6</v>
      </c>
      <c r="AA104" s="43">
        <v>6</v>
      </c>
      <c r="AB104" s="37">
        <v>2024</v>
      </c>
      <c r="AC104" s="110"/>
      <c r="AD104" s="89"/>
    </row>
    <row r="105" spans="1:30" ht="47.2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69" t="s">
        <v>288</v>
      </c>
      <c r="S105" s="148" t="s">
        <v>37</v>
      </c>
      <c r="T105" s="40">
        <v>0</v>
      </c>
      <c r="U105" s="40">
        <v>16</v>
      </c>
      <c r="V105" s="40">
        <v>16</v>
      </c>
      <c r="W105" s="40">
        <v>30</v>
      </c>
      <c r="X105" s="40">
        <v>21</v>
      </c>
      <c r="Y105" s="40">
        <v>7</v>
      </c>
      <c r="Z105" s="40">
        <v>13</v>
      </c>
      <c r="AA105" s="43">
        <f>SUM(T105:Z105)</f>
        <v>103</v>
      </c>
      <c r="AB105" s="37">
        <v>2024</v>
      </c>
      <c r="AC105" s="110"/>
      <c r="AD105" s="89"/>
    </row>
    <row r="106" spans="1:30" ht="31.5" x14ac:dyDescent="0.25">
      <c r="A106" s="48" t="s">
        <v>18</v>
      </c>
      <c r="B106" s="48" t="s">
        <v>18</v>
      </c>
      <c r="C106" s="48" t="s">
        <v>21</v>
      </c>
      <c r="D106" s="48" t="s">
        <v>18</v>
      </c>
      <c r="E106" s="48" t="s">
        <v>21</v>
      </c>
      <c r="F106" s="48" t="s">
        <v>18</v>
      </c>
      <c r="G106" s="48" t="s">
        <v>22</v>
      </c>
      <c r="H106" s="48" t="s">
        <v>19</v>
      </c>
      <c r="I106" s="48" t="s">
        <v>24</v>
      </c>
      <c r="J106" s="48" t="s">
        <v>18</v>
      </c>
      <c r="K106" s="48" t="s">
        <v>18</v>
      </c>
      <c r="L106" s="48" t="s">
        <v>19</v>
      </c>
      <c r="M106" s="48" t="s">
        <v>42</v>
      </c>
      <c r="N106" s="48" t="s">
        <v>42</v>
      </c>
      <c r="O106" s="48" t="s">
        <v>42</v>
      </c>
      <c r="P106" s="48" t="s">
        <v>42</v>
      </c>
      <c r="Q106" s="48" t="s">
        <v>42</v>
      </c>
      <c r="R106" s="146" t="s">
        <v>102</v>
      </c>
      <c r="S106" s="49" t="s">
        <v>0</v>
      </c>
      <c r="T106" s="1">
        <f>1351.9-396.7-310.9-34</f>
        <v>610.30000000000007</v>
      </c>
      <c r="U106" s="1">
        <f>1750-198.6-29.9</f>
        <v>1521.5</v>
      </c>
      <c r="V106" s="1">
        <f>1749.6+553-113</f>
        <v>2189.6</v>
      </c>
      <c r="W106" s="1">
        <f>1500+1265.3</f>
        <v>2765.3</v>
      </c>
      <c r="X106" s="1">
        <f>1500-400-120+779.5</f>
        <v>1759.5</v>
      </c>
      <c r="Y106" s="1">
        <f>1500-200+527.3-60</f>
        <v>1767.3</v>
      </c>
      <c r="Z106" s="1">
        <v>1500</v>
      </c>
      <c r="AA106" s="53">
        <f>SUM(T106:Z106)</f>
        <v>12113.5</v>
      </c>
      <c r="AB106" s="52">
        <v>2024</v>
      </c>
      <c r="AC106" s="106"/>
      <c r="AD106" s="89"/>
    </row>
    <row r="107" spans="1:30" ht="47.25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69" t="s">
        <v>234</v>
      </c>
      <c r="S107" s="148" t="s">
        <v>37</v>
      </c>
      <c r="T107" s="2">
        <v>21</v>
      </c>
      <c r="U107" s="2">
        <v>95</v>
      </c>
      <c r="V107" s="2">
        <v>220</v>
      </c>
      <c r="W107" s="2">
        <v>90</v>
      </c>
      <c r="X107" s="2">
        <v>19</v>
      </c>
      <c r="Y107" s="2">
        <v>90</v>
      </c>
      <c r="Z107" s="2">
        <v>90</v>
      </c>
      <c r="AA107" s="43">
        <f>SUM(T107:Z107)</f>
        <v>625</v>
      </c>
      <c r="AB107" s="37">
        <v>2024</v>
      </c>
      <c r="AC107" s="110"/>
      <c r="AD107" s="89"/>
    </row>
    <row r="108" spans="1:30" ht="31.5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69" t="s">
        <v>235</v>
      </c>
      <c r="S108" s="148" t="s">
        <v>37</v>
      </c>
      <c r="T108" s="2">
        <v>4</v>
      </c>
      <c r="U108" s="2">
        <v>5</v>
      </c>
      <c r="V108" s="2">
        <v>5</v>
      </c>
      <c r="W108" s="2">
        <v>4</v>
      </c>
      <c r="X108" s="2">
        <v>4</v>
      </c>
      <c r="Y108" s="2">
        <v>3</v>
      </c>
      <c r="Z108" s="2">
        <v>4</v>
      </c>
      <c r="AA108" s="41">
        <v>4</v>
      </c>
      <c r="AB108" s="37">
        <v>2024</v>
      </c>
      <c r="AC108" s="114"/>
      <c r="AD108" s="89"/>
    </row>
    <row r="109" spans="1:30" ht="47.2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69" t="s">
        <v>289</v>
      </c>
      <c r="S109" s="148" t="s">
        <v>37</v>
      </c>
      <c r="T109" s="40">
        <v>0</v>
      </c>
      <c r="U109" s="40">
        <v>16</v>
      </c>
      <c r="V109" s="40">
        <v>15</v>
      </c>
      <c r="W109" s="40">
        <v>12</v>
      </c>
      <c r="X109" s="40">
        <v>13</v>
      </c>
      <c r="Y109" s="40">
        <v>8</v>
      </c>
      <c r="Z109" s="40">
        <v>9</v>
      </c>
      <c r="AA109" s="43">
        <f>SUM(T109:Z109)</f>
        <v>73</v>
      </c>
      <c r="AB109" s="37">
        <v>2024</v>
      </c>
      <c r="AC109" s="110"/>
      <c r="AD109" s="89"/>
    </row>
    <row r="110" spans="1:30" ht="31.5" x14ac:dyDescent="0.25">
      <c r="A110" s="48" t="s">
        <v>18</v>
      </c>
      <c r="B110" s="48" t="s">
        <v>18</v>
      </c>
      <c r="C110" s="48" t="s">
        <v>25</v>
      </c>
      <c r="D110" s="48" t="s">
        <v>18</v>
      </c>
      <c r="E110" s="48" t="s">
        <v>21</v>
      </c>
      <c r="F110" s="48" t="s">
        <v>18</v>
      </c>
      <c r="G110" s="48" t="s">
        <v>22</v>
      </c>
      <c r="H110" s="48" t="s">
        <v>19</v>
      </c>
      <c r="I110" s="48" t="s">
        <v>24</v>
      </c>
      <c r="J110" s="48" t="s">
        <v>18</v>
      </c>
      <c r="K110" s="48" t="s">
        <v>18</v>
      </c>
      <c r="L110" s="48" t="s">
        <v>19</v>
      </c>
      <c r="M110" s="48" t="s">
        <v>42</v>
      </c>
      <c r="N110" s="48" t="s">
        <v>42</v>
      </c>
      <c r="O110" s="48" t="s">
        <v>42</v>
      </c>
      <c r="P110" s="48" t="s">
        <v>42</v>
      </c>
      <c r="Q110" s="48" t="s">
        <v>42</v>
      </c>
      <c r="R110" s="146" t="s">
        <v>99</v>
      </c>
      <c r="S110" s="49" t="s">
        <v>0</v>
      </c>
      <c r="T110" s="1">
        <f>4141.3-300-1489-672.7-86.2-669.2</f>
        <v>924.2</v>
      </c>
      <c r="U110" s="1">
        <f>2950-369.3-0.6-50-20-366-142.8</f>
        <v>2001.3</v>
      </c>
      <c r="V110" s="1">
        <f>2950+153.2-3.3-641.8</f>
        <v>2458.0999999999995</v>
      </c>
      <c r="W110" s="1">
        <f>1900-22+817.5-91-182</f>
        <v>2422.5</v>
      </c>
      <c r="X110" s="1">
        <f>1682.2-20.6-0.6+461.1-267</f>
        <v>1855.1000000000004</v>
      </c>
      <c r="Y110" s="1">
        <f>1682.2-150+358.2+175.5</f>
        <v>2065.9</v>
      </c>
      <c r="Z110" s="1">
        <v>940.4</v>
      </c>
      <c r="AA110" s="53">
        <f>SUM(T110:Z110)</f>
        <v>12667.5</v>
      </c>
      <c r="AB110" s="52">
        <v>2024</v>
      </c>
      <c r="AC110" s="107"/>
    </row>
    <row r="111" spans="1:30" ht="46.9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67" t="s">
        <v>236</v>
      </c>
      <c r="S111" s="148" t="s">
        <v>37</v>
      </c>
      <c r="T111" s="40">
        <v>7</v>
      </c>
      <c r="U111" s="40">
        <v>7</v>
      </c>
      <c r="V111" s="40">
        <v>70</v>
      </c>
      <c r="W111" s="40">
        <v>0</v>
      </c>
      <c r="X111" s="40">
        <v>60</v>
      </c>
      <c r="Y111" s="40">
        <v>44</v>
      </c>
      <c r="Z111" s="40">
        <v>20</v>
      </c>
      <c r="AA111" s="43">
        <f>SUM(T111:Z111)</f>
        <v>208</v>
      </c>
      <c r="AB111" s="37">
        <v>2024</v>
      </c>
      <c r="AC111" s="31"/>
    </row>
    <row r="112" spans="1:30" ht="31.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67" t="s">
        <v>237</v>
      </c>
      <c r="S112" s="37" t="s">
        <v>37</v>
      </c>
      <c r="T112" s="40">
        <v>3</v>
      </c>
      <c r="U112" s="40">
        <v>2</v>
      </c>
      <c r="V112" s="40">
        <v>4</v>
      </c>
      <c r="W112" s="40">
        <v>4</v>
      </c>
      <c r="X112" s="40">
        <v>3</v>
      </c>
      <c r="Y112" s="40">
        <v>2</v>
      </c>
      <c r="Z112" s="40">
        <v>5</v>
      </c>
      <c r="AA112" s="43">
        <f>Z112</f>
        <v>5</v>
      </c>
      <c r="AB112" s="37">
        <v>2024</v>
      </c>
      <c r="AC112" s="110"/>
      <c r="AD112" s="89"/>
    </row>
    <row r="113" spans="1:31" ht="47.2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69" t="s">
        <v>290</v>
      </c>
      <c r="S113" s="148" t="s">
        <v>37</v>
      </c>
      <c r="T113" s="40">
        <v>0</v>
      </c>
      <c r="U113" s="40">
        <v>15</v>
      </c>
      <c r="V113" s="40">
        <v>2</v>
      </c>
      <c r="W113" s="40">
        <v>2</v>
      </c>
      <c r="X113" s="40">
        <v>6</v>
      </c>
      <c r="Y113" s="40">
        <v>4</v>
      </c>
      <c r="Z113" s="40">
        <v>8</v>
      </c>
      <c r="AA113" s="43">
        <f>SUM(T113:Z113)</f>
        <v>37</v>
      </c>
      <c r="AB113" s="37">
        <v>2024</v>
      </c>
      <c r="AC113" s="110"/>
      <c r="AD113" s="89"/>
    </row>
    <row r="114" spans="1:31" ht="31.5" x14ac:dyDescent="0.25">
      <c r="A114" s="48" t="s">
        <v>18</v>
      </c>
      <c r="B114" s="48" t="s">
        <v>19</v>
      </c>
      <c r="C114" s="48" t="s">
        <v>24</v>
      </c>
      <c r="D114" s="48" t="s">
        <v>18</v>
      </c>
      <c r="E114" s="48" t="s">
        <v>21</v>
      </c>
      <c r="F114" s="48" t="s">
        <v>18</v>
      </c>
      <c r="G114" s="48" t="s">
        <v>22</v>
      </c>
      <c r="H114" s="48" t="s">
        <v>19</v>
      </c>
      <c r="I114" s="48" t="s">
        <v>24</v>
      </c>
      <c r="J114" s="48" t="s">
        <v>18</v>
      </c>
      <c r="K114" s="48" t="s">
        <v>18</v>
      </c>
      <c r="L114" s="48" t="s">
        <v>19</v>
      </c>
      <c r="M114" s="48" t="s">
        <v>42</v>
      </c>
      <c r="N114" s="48" t="s">
        <v>42</v>
      </c>
      <c r="O114" s="48" t="s">
        <v>42</v>
      </c>
      <c r="P114" s="48" t="s">
        <v>42</v>
      </c>
      <c r="Q114" s="48" t="s">
        <v>42</v>
      </c>
      <c r="R114" s="146" t="s">
        <v>99</v>
      </c>
      <c r="S114" s="49" t="s">
        <v>0</v>
      </c>
      <c r="T114" s="1">
        <f>236-236+500-125.3</f>
        <v>374.7</v>
      </c>
      <c r="U114" s="1">
        <f>0+229+48-32</f>
        <v>245</v>
      </c>
      <c r="V114" s="1">
        <f>0+150-6.8</f>
        <v>143.19999999999999</v>
      </c>
      <c r="W114" s="1">
        <f>0+30</f>
        <v>30</v>
      </c>
      <c r="X114" s="1">
        <f>30+80</f>
        <v>110</v>
      </c>
      <c r="Y114" s="1">
        <f>0+75-25</f>
        <v>50</v>
      </c>
      <c r="Z114" s="1">
        <v>0</v>
      </c>
      <c r="AA114" s="53">
        <f>SUM(T114:Z114)</f>
        <v>952.90000000000009</v>
      </c>
      <c r="AB114" s="52">
        <v>2023</v>
      </c>
      <c r="AC114" s="110"/>
      <c r="AD114" s="89"/>
    </row>
    <row r="115" spans="1:31" ht="47.25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69" t="s">
        <v>293</v>
      </c>
      <c r="S115" s="148" t="s">
        <v>37</v>
      </c>
      <c r="T115" s="40">
        <v>25</v>
      </c>
      <c r="U115" s="2">
        <v>1</v>
      </c>
      <c r="V115" s="2">
        <v>16</v>
      </c>
      <c r="W115" s="2">
        <v>2</v>
      </c>
      <c r="X115" s="2">
        <v>5</v>
      </c>
      <c r="Y115" s="40">
        <v>1</v>
      </c>
      <c r="Z115" s="2">
        <v>0</v>
      </c>
      <c r="AA115" s="41">
        <f>SUM(T115:Z115)</f>
        <v>50</v>
      </c>
      <c r="AB115" s="37">
        <v>2023</v>
      </c>
      <c r="AC115" s="110"/>
      <c r="AD115" s="89"/>
    </row>
    <row r="116" spans="1:31" x14ac:dyDescent="0.25">
      <c r="A116" s="48" t="s">
        <v>18</v>
      </c>
      <c r="B116" s="48" t="s">
        <v>19</v>
      </c>
      <c r="C116" s="48" t="s">
        <v>20</v>
      </c>
      <c r="D116" s="48" t="s">
        <v>18</v>
      </c>
      <c r="E116" s="48" t="s">
        <v>21</v>
      </c>
      <c r="F116" s="48" t="s">
        <v>18</v>
      </c>
      <c r="G116" s="48" t="s">
        <v>22</v>
      </c>
      <c r="H116" s="48" t="s">
        <v>19</v>
      </c>
      <c r="I116" s="48" t="s">
        <v>24</v>
      </c>
      <c r="J116" s="48" t="s">
        <v>18</v>
      </c>
      <c r="K116" s="48" t="s">
        <v>18</v>
      </c>
      <c r="L116" s="48" t="s">
        <v>19</v>
      </c>
      <c r="M116" s="48" t="s">
        <v>18</v>
      </c>
      <c r="N116" s="48" t="s">
        <v>18</v>
      </c>
      <c r="O116" s="48" t="s">
        <v>18</v>
      </c>
      <c r="P116" s="48" t="s">
        <v>18</v>
      </c>
      <c r="Q116" s="48" t="s">
        <v>18</v>
      </c>
      <c r="R116" s="153" t="s">
        <v>103</v>
      </c>
      <c r="S116" s="150" t="s">
        <v>0</v>
      </c>
      <c r="T116" s="53">
        <f>SUM(T117:T118)</f>
        <v>124849.7</v>
      </c>
      <c r="U116" s="53">
        <f t="shared" ref="U116:Z116" si="44">SUM(U117:U118)</f>
        <v>257371.5</v>
      </c>
      <c r="V116" s="53">
        <f t="shared" si="44"/>
        <v>178030.5</v>
      </c>
      <c r="W116" s="53">
        <f t="shared" si="44"/>
        <v>153398.5</v>
      </c>
      <c r="X116" s="53">
        <f>SUM(X117:X118)</f>
        <v>238506.30000000002</v>
      </c>
      <c r="Y116" s="53">
        <f t="shared" si="44"/>
        <v>219633.4</v>
      </c>
      <c r="Z116" s="53">
        <f t="shared" si="44"/>
        <v>182625.4</v>
      </c>
      <c r="AA116" s="53">
        <f>SUM(T116:Z116)</f>
        <v>1354415.2999999998</v>
      </c>
      <c r="AB116" s="52">
        <v>2024</v>
      </c>
      <c r="AC116" s="106"/>
      <c r="AD116" s="89"/>
    </row>
    <row r="117" spans="1:31" x14ac:dyDescent="0.25">
      <c r="A117" s="48" t="s">
        <v>18</v>
      </c>
      <c r="B117" s="48" t="s">
        <v>19</v>
      </c>
      <c r="C117" s="48" t="s">
        <v>20</v>
      </c>
      <c r="D117" s="48" t="s">
        <v>18</v>
      </c>
      <c r="E117" s="48" t="s">
        <v>21</v>
      </c>
      <c r="F117" s="48" t="s">
        <v>18</v>
      </c>
      <c r="G117" s="48" t="s">
        <v>22</v>
      </c>
      <c r="H117" s="48" t="s">
        <v>19</v>
      </c>
      <c r="I117" s="48" t="s">
        <v>24</v>
      </c>
      <c r="J117" s="48" t="s">
        <v>18</v>
      </c>
      <c r="K117" s="48" t="s">
        <v>18</v>
      </c>
      <c r="L117" s="48" t="s">
        <v>19</v>
      </c>
      <c r="M117" s="48" t="s">
        <v>18</v>
      </c>
      <c r="N117" s="48" t="s">
        <v>19</v>
      </c>
      <c r="O117" s="48" t="s">
        <v>18</v>
      </c>
      <c r="P117" s="48" t="s">
        <v>18</v>
      </c>
      <c r="Q117" s="48" t="s">
        <v>18</v>
      </c>
      <c r="R117" s="154"/>
      <c r="S117" s="151"/>
      <c r="T117" s="1">
        <v>0</v>
      </c>
      <c r="U117" s="1">
        <v>0</v>
      </c>
      <c r="V117" s="1">
        <v>0</v>
      </c>
      <c r="W117" s="1">
        <v>0</v>
      </c>
      <c r="X117" s="1">
        <f>4417.1-142.1</f>
        <v>4275</v>
      </c>
      <c r="Y117" s="1">
        <v>12525.5</v>
      </c>
      <c r="Z117" s="1">
        <v>11795.4</v>
      </c>
      <c r="AA117" s="53">
        <f t="shared" ref="AA117:AA118" si="45">SUM(T117:Z117)</f>
        <v>28595.9</v>
      </c>
      <c r="AB117" s="52">
        <v>2024</v>
      </c>
      <c r="AC117" s="106"/>
      <c r="AD117" s="89"/>
    </row>
    <row r="118" spans="1:31" x14ac:dyDescent="0.25">
      <c r="A118" s="48" t="s">
        <v>18</v>
      </c>
      <c r="B118" s="48" t="s">
        <v>19</v>
      </c>
      <c r="C118" s="48" t="s">
        <v>20</v>
      </c>
      <c r="D118" s="48" t="s">
        <v>18</v>
      </c>
      <c r="E118" s="48" t="s">
        <v>21</v>
      </c>
      <c r="F118" s="48" t="s">
        <v>18</v>
      </c>
      <c r="G118" s="48" t="s">
        <v>22</v>
      </c>
      <c r="H118" s="48" t="s">
        <v>19</v>
      </c>
      <c r="I118" s="48" t="s">
        <v>24</v>
      </c>
      <c r="J118" s="48" t="s">
        <v>18</v>
      </c>
      <c r="K118" s="48" t="s">
        <v>18</v>
      </c>
      <c r="L118" s="48" t="s">
        <v>19</v>
      </c>
      <c r="M118" s="48" t="s">
        <v>42</v>
      </c>
      <c r="N118" s="48" t="s">
        <v>42</v>
      </c>
      <c r="O118" s="48" t="s">
        <v>42</v>
      </c>
      <c r="P118" s="48" t="s">
        <v>42</v>
      </c>
      <c r="Q118" s="48" t="s">
        <v>42</v>
      </c>
      <c r="R118" s="155"/>
      <c r="S118" s="152"/>
      <c r="T118" s="1">
        <f>99204.4+25748.3-45-48-10</f>
        <v>124849.7</v>
      </c>
      <c r="U118" s="1">
        <f>98382.7+162290.6-3301.8</f>
        <v>257371.5</v>
      </c>
      <c r="V118" s="1">
        <f>180545.5-150-150-2115-100</f>
        <v>178030.5</v>
      </c>
      <c r="W118" s="1">
        <f>154888-50-70-100-600+13707.9-6323.8-4495.6-1358-2200</f>
        <v>153398.5</v>
      </c>
      <c r="X118" s="1">
        <f>181212.6+15591.9+25349.2+40.5+12037.1</f>
        <v>234231.30000000002</v>
      </c>
      <c r="Y118" s="1">
        <f>118003.1-92.8+13600+26229.6+829.4+48538.6</f>
        <v>207107.9</v>
      </c>
      <c r="Z118" s="1">
        <f>171080-250</f>
        <v>170830</v>
      </c>
      <c r="AA118" s="53">
        <f t="shared" si="45"/>
        <v>1325819.3999999999</v>
      </c>
      <c r="AB118" s="52">
        <v>2024</v>
      </c>
      <c r="AC118" s="106"/>
      <c r="AD118" s="89"/>
    </row>
    <row r="119" spans="1:31" ht="31.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69" t="s">
        <v>344</v>
      </c>
      <c r="S119" s="148" t="s">
        <v>48</v>
      </c>
      <c r="T119" s="2">
        <v>21452</v>
      </c>
      <c r="U119" s="2">
        <v>21713</v>
      </c>
      <c r="V119" s="2">
        <v>21820</v>
      </c>
      <c r="W119" s="2">
        <v>22526</v>
      </c>
      <c r="X119" s="2">
        <v>22859</v>
      </c>
      <c r="Y119" s="2">
        <f>22971+232</f>
        <v>23203</v>
      </c>
      <c r="Z119" s="2">
        <f>22971+232</f>
        <v>23203</v>
      </c>
      <c r="AA119" s="43">
        <f>Z119</f>
        <v>23203</v>
      </c>
      <c r="AB119" s="37">
        <v>2024</v>
      </c>
      <c r="AC119" s="110"/>
      <c r="AD119" s="96"/>
      <c r="AE119" s="96"/>
    </row>
    <row r="120" spans="1:31" ht="31.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69" t="s">
        <v>343</v>
      </c>
      <c r="S120" s="148" t="s">
        <v>9</v>
      </c>
      <c r="T120" s="3">
        <v>95</v>
      </c>
      <c r="U120" s="3">
        <v>95</v>
      </c>
      <c r="V120" s="3">
        <v>95</v>
      </c>
      <c r="W120" s="3">
        <v>95</v>
      </c>
      <c r="X120" s="3">
        <v>95</v>
      </c>
      <c r="Y120" s="3">
        <v>95</v>
      </c>
      <c r="Z120" s="3">
        <v>95</v>
      </c>
      <c r="AA120" s="5">
        <v>95</v>
      </c>
      <c r="AB120" s="37">
        <v>2024</v>
      </c>
      <c r="AC120" s="31"/>
    </row>
    <row r="121" spans="1:31" ht="31.5" x14ac:dyDescent="0.25">
      <c r="A121" s="48"/>
      <c r="B121" s="48"/>
      <c r="C121" s="48"/>
      <c r="D121" s="48" t="s">
        <v>18</v>
      </c>
      <c r="E121" s="48" t="s">
        <v>21</v>
      </c>
      <c r="F121" s="48" t="s">
        <v>18</v>
      </c>
      <c r="G121" s="48" t="s">
        <v>22</v>
      </c>
      <c r="H121" s="48" t="s">
        <v>19</v>
      </c>
      <c r="I121" s="48" t="s">
        <v>24</v>
      </c>
      <c r="J121" s="48" t="s">
        <v>18</v>
      </c>
      <c r="K121" s="48" t="s">
        <v>18</v>
      </c>
      <c r="L121" s="48" t="s">
        <v>19</v>
      </c>
      <c r="M121" s="48" t="s">
        <v>42</v>
      </c>
      <c r="N121" s="48" t="s">
        <v>42</v>
      </c>
      <c r="O121" s="48" t="s">
        <v>42</v>
      </c>
      <c r="P121" s="48" t="s">
        <v>42</v>
      </c>
      <c r="Q121" s="48" t="s">
        <v>42</v>
      </c>
      <c r="R121" s="66" t="s">
        <v>104</v>
      </c>
      <c r="S121" s="52" t="s">
        <v>0</v>
      </c>
      <c r="T121" s="53">
        <f t="shared" ref="T121:Y122" si="46">T123+T125+T127+T129</f>
        <v>1880.0999999999997</v>
      </c>
      <c r="U121" s="53">
        <f t="shared" si="46"/>
        <v>1976</v>
      </c>
      <c r="V121" s="53">
        <f t="shared" si="46"/>
        <v>1715.8</v>
      </c>
      <c r="W121" s="53">
        <f t="shared" si="46"/>
        <v>2672.1</v>
      </c>
      <c r="X121" s="53">
        <f t="shared" si="46"/>
        <v>7326.9</v>
      </c>
      <c r="Y121" s="53">
        <f t="shared" si="46"/>
        <v>3141.3999999999996</v>
      </c>
      <c r="Z121" s="53">
        <f>Z123+Z125+Z127+Z129+Z131</f>
        <v>7068.5</v>
      </c>
      <c r="AA121" s="53">
        <f t="shared" ref="AA121:AA129" si="47">SUM(T121:Z121)</f>
        <v>25780.799999999999</v>
      </c>
      <c r="AB121" s="52">
        <v>2024</v>
      </c>
      <c r="AC121" s="107"/>
    </row>
    <row r="122" spans="1:31" ht="31.1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67" t="s">
        <v>105</v>
      </c>
      <c r="S122" s="37" t="s">
        <v>37</v>
      </c>
      <c r="T122" s="40">
        <f t="shared" si="46"/>
        <v>61</v>
      </c>
      <c r="U122" s="40">
        <f t="shared" si="46"/>
        <v>147</v>
      </c>
      <c r="V122" s="40">
        <f t="shared" si="46"/>
        <v>255</v>
      </c>
      <c r="W122" s="40">
        <f t="shared" si="46"/>
        <v>311</v>
      </c>
      <c r="X122" s="40">
        <f t="shared" si="46"/>
        <v>410</v>
      </c>
      <c r="Y122" s="40">
        <f t="shared" si="46"/>
        <v>418</v>
      </c>
      <c r="Z122" s="40">
        <f>Z124+Z126+Z128+Z130+Z132</f>
        <v>409</v>
      </c>
      <c r="AA122" s="43">
        <f>Z122</f>
        <v>409</v>
      </c>
      <c r="AB122" s="37">
        <v>2024</v>
      </c>
      <c r="AC122" s="110"/>
      <c r="AD122" s="89"/>
    </row>
    <row r="123" spans="1:31" ht="31.5" x14ac:dyDescent="0.25">
      <c r="A123" s="48" t="s">
        <v>18</v>
      </c>
      <c r="B123" s="48" t="s">
        <v>18</v>
      </c>
      <c r="C123" s="48" t="s">
        <v>22</v>
      </c>
      <c r="D123" s="48" t="s">
        <v>18</v>
      </c>
      <c r="E123" s="48" t="s">
        <v>21</v>
      </c>
      <c r="F123" s="48" t="s">
        <v>18</v>
      </c>
      <c r="G123" s="48" t="s">
        <v>22</v>
      </c>
      <c r="H123" s="48" t="s">
        <v>19</v>
      </c>
      <c r="I123" s="48" t="s">
        <v>24</v>
      </c>
      <c r="J123" s="48" t="s">
        <v>18</v>
      </c>
      <c r="K123" s="48" t="s">
        <v>18</v>
      </c>
      <c r="L123" s="48" t="s">
        <v>19</v>
      </c>
      <c r="M123" s="48" t="s">
        <v>42</v>
      </c>
      <c r="N123" s="48" t="s">
        <v>42</v>
      </c>
      <c r="O123" s="48" t="s">
        <v>42</v>
      </c>
      <c r="P123" s="48" t="s">
        <v>42</v>
      </c>
      <c r="Q123" s="48" t="s">
        <v>42</v>
      </c>
      <c r="R123" s="146" t="s">
        <v>106</v>
      </c>
      <c r="S123" s="49" t="s">
        <v>0</v>
      </c>
      <c r="T123" s="1">
        <f>92-9.2+105.5-26.8</f>
        <v>161.5</v>
      </c>
      <c r="U123" s="1">
        <f>1092-122.4</f>
        <v>969.6</v>
      </c>
      <c r="V123" s="1">
        <f>1092-692</f>
        <v>400</v>
      </c>
      <c r="W123" s="1">
        <v>1092</v>
      </c>
      <c r="X123" s="1">
        <f>1092-12.7</f>
        <v>1079.3</v>
      </c>
      <c r="Y123" s="1">
        <v>1092</v>
      </c>
      <c r="Z123" s="1">
        <v>1092</v>
      </c>
      <c r="AA123" s="53">
        <f t="shared" si="47"/>
        <v>5886.4</v>
      </c>
      <c r="AB123" s="52">
        <v>2024</v>
      </c>
      <c r="AC123" s="107"/>
    </row>
    <row r="124" spans="1:31" ht="47.25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139" t="s">
        <v>107</v>
      </c>
      <c r="S124" s="148" t="s">
        <v>37</v>
      </c>
      <c r="T124" s="40">
        <f>4+4</f>
        <v>8</v>
      </c>
      <c r="U124" s="40">
        <f>29+21</f>
        <v>50</v>
      </c>
      <c r="V124" s="40">
        <v>23</v>
      </c>
      <c r="W124" s="40">
        <v>54</v>
      </c>
      <c r="X124" s="40">
        <v>157</v>
      </c>
      <c r="Y124" s="40">
        <v>159</v>
      </c>
      <c r="Z124" s="40">
        <v>157</v>
      </c>
      <c r="AA124" s="43">
        <v>157</v>
      </c>
      <c r="AB124" s="37">
        <v>2024</v>
      </c>
      <c r="AC124" s="114"/>
      <c r="AD124" s="96"/>
    </row>
    <row r="125" spans="1:31" ht="31.5" x14ac:dyDescent="0.25">
      <c r="A125" s="48" t="s">
        <v>18</v>
      </c>
      <c r="B125" s="48" t="s">
        <v>18</v>
      </c>
      <c r="C125" s="48" t="s">
        <v>24</v>
      </c>
      <c r="D125" s="48" t="s">
        <v>18</v>
      </c>
      <c r="E125" s="48" t="s">
        <v>21</v>
      </c>
      <c r="F125" s="48" t="s">
        <v>18</v>
      </c>
      <c r="G125" s="48" t="s">
        <v>22</v>
      </c>
      <c r="H125" s="48" t="s">
        <v>19</v>
      </c>
      <c r="I125" s="48" t="s">
        <v>24</v>
      </c>
      <c r="J125" s="48" t="s">
        <v>18</v>
      </c>
      <c r="K125" s="48" t="s">
        <v>18</v>
      </c>
      <c r="L125" s="48" t="s">
        <v>19</v>
      </c>
      <c r="M125" s="48" t="s">
        <v>42</v>
      </c>
      <c r="N125" s="48" t="s">
        <v>42</v>
      </c>
      <c r="O125" s="48" t="s">
        <v>42</v>
      </c>
      <c r="P125" s="48" t="s">
        <v>42</v>
      </c>
      <c r="Q125" s="48" t="s">
        <v>42</v>
      </c>
      <c r="R125" s="146" t="s">
        <v>106</v>
      </c>
      <c r="S125" s="49" t="s">
        <v>0</v>
      </c>
      <c r="T125" s="1">
        <f>1135.8-126-115.2-44.7</f>
        <v>849.89999999999986</v>
      </c>
      <c r="U125" s="1">
        <f>630.5-140-173</f>
        <v>317.5</v>
      </c>
      <c r="V125" s="1">
        <f>630.5-192.2</f>
        <v>438.3</v>
      </c>
      <c r="W125" s="1">
        <f>630.5+9.9</f>
        <v>640.4</v>
      </c>
      <c r="X125" s="1">
        <f>630.5+400</f>
        <v>1030.5</v>
      </c>
      <c r="Y125" s="1">
        <f>630.5+386.7-35</f>
        <v>982.2</v>
      </c>
      <c r="Z125" s="1">
        <v>630.5</v>
      </c>
      <c r="AA125" s="53">
        <f t="shared" si="47"/>
        <v>4889.3</v>
      </c>
      <c r="AB125" s="52">
        <v>2024</v>
      </c>
      <c r="AC125" s="109"/>
      <c r="AD125" s="89"/>
    </row>
    <row r="126" spans="1:31" ht="47.25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69" t="s">
        <v>108</v>
      </c>
      <c r="S126" s="148" t="s">
        <v>37</v>
      </c>
      <c r="T126" s="40">
        <v>26</v>
      </c>
      <c r="U126" s="40">
        <v>62</v>
      </c>
      <c r="V126" s="40">
        <v>56</v>
      </c>
      <c r="W126" s="40">
        <v>76</v>
      </c>
      <c r="X126" s="40">
        <v>35</v>
      </c>
      <c r="Y126" s="40">
        <v>45</v>
      </c>
      <c r="Z126" s="40">
        <v>35</v>
      </c>
      <c r="AA126" s="43">
        <v>35</v>
      </c>
      <c r="AB126" s="37">
        <v>2024</v>
      </c>
      <c r="AC126" s="110"/>
      <c r="AD126" s="89"/>
    </row>
    <row r="127" spans="1:31" ht="31.5" x14ac:dyDescent="0.25">
      <c r="A127" s="48" t="s">
        <v>18</v>
      </c>
      <c r="B127" s="48" t="s">
        <v>18</v>
      </c>
      <c r="C127" s="48" t="s">
        <v>21</v>
      </c>
      <c r="D127" s="48" t="s">
        <v>18</v>
      </c>
      <c r="E127" s="48" t="s">
        <v>21</v>
      </c>
      <c r="F127" s="48" t="s">
        <v>18</v>
      </c>
      <c r="G127" s="48" t="s">
        <v>22</v>
      </c>
      <c r="H127" s="48" t="s">
        <v>19</v>
      </c>
      <c r="I127" s="48" t="s">
        <v>24</v>
      </c>
      <c r="J127" s="48" t="s">
        <v>18</v>
      </c>
      <c r="K127" s="48" t="s">
        <v>18</v>
      </c>
      <c r="L127" s="48" t="s">
        <v>19</v>
      </c>
      <c r="M127" s="48" t="s">
        <v>42</v>
      </c>
      <c r="N127" s="48" t="s">
        <v>42</v>
      </c>
      <c r="O127" s="48" t="s">
        <v>42</v>
      </c>
      <c r="P127" s="48" t="s">
        <v>42</v>
      </c>
      <c r="Q127" s="48" t="s">
        <v>42</v>
      </c>
      <c r="R127" s="146" t="s">
        <v>106</v>
      </c>
      <c r="S127" s="49" t="s">
        <v>0</v>
      </c>
      <c r="T127" s="1">
        <f>429.2+396.7-107.5</f>
        <v>718.4</v>
      </c>
      <c r="U127" s="1">
        <f>475.2-36.3</f>
        <v>438.9</v>
      </c>
      <c r="V127" s="1">
        <v>475.7</v>
      </c>
      <c r="W127" s="1">
        <f>475.2-25.2</f>
        <v>450</v>
      </c>
      <c r="X127" s="1">
        <f>475.2+4361-19.1</f>
        <v>4817.0999999999995</v>
      </c>
      <c r="Y127" s="1">
        <f>475.2+42</f>
        <v>517.20000000000005</v>
      </c>
      <c r="Z127" s="1">
        <v>475.2</v>
      </c>
      <c r="AA127" s="53">
        <f t="shared" si="47"/>
        <v>7892.4999999999991</v>
      </c>
      <c r="AB127" s="52">
        <v>2024</v>
      </c>
      <c r="AC127" s="107"/>
    </row>
    <row r="128" spans="1:31" ht="47.25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67" t="s">
        <v>109</v>
      </c>
      <c r="S128" s="37" t="s">
        <v>37</v>
      </c>
      <c r="T128" s="40">
        <v>17</v>
      </c>
      <c r="U128" s="40">
        <v>17</v>
      </c>
      <c r="V128" s="40">
        <v>122</v>
      </c>
      <c r="W128" s="40">
        <v>132</v>
      </c>
      <c r="X128" s="40">
        <f>132+3</f>
        <v>135</v>
      </c>
      <c r="Y128" s="40">
        <v>134</v>
      </c>
      <c r="Z128" s="40">
        <v>134</v>
      </c>
      <c r="AA128" s="43">
        <v>134</v>
      </c>
      <c r="AB128" s="37">
        <v>2024</v>
      </c>
      <c r="AC128" s="110"/>
      <c r="AD128" s="89"/>
    </row>
    <row r="129" spans="1:32" ht="31.5" x14ac:dyDescent="0.25">
      <c r="A129" s="48" t="s">
        <v>18</v>
      </c>
      <c r="B129" s="48" t="s">
        <v>18</v>
      </c>
      <c r="C129" s="48" t="s">
        <v>25</v>
      </c>
      <c r="D129" s="48" t="s">
        <v>18</v>
      </c>
      <c r="E129" s="48" t="s">
        <v>21</v>
      </c>
      <c r="F129" s="48" t="s">
        <v>18</v>
      </c>
      <c r="G129" s="48" t="s">
        <v>22</v>
      </c>
      <c r="H129" s="48" t="s">
        <v>19</v>
      </c>
      <c r="I129" s="48" t="s">
        <v>24</v>
      </c>
      <c r="J129" s="48" t="s">
        <v>18</v>
      </c>
      <c r="K129" s="48" t="s">
        <v>18</v>
      </c>
      <c r="L129" s="48" t="s">
        <v>19</v>
      </c>
      <c r="M129" s="48" t="s">
        <v>42</v>
      </c>
      <c r="N129" s="48" t="s">
        <v>42</v>
      </c>
      <c r="O129" s="48" t="s">
        <v>42</v>
      </c>
      <c r="P129" s="48" t="s">
        <v>42</v>
      </c>
      <c r="Q129" s="48" t="s">
        <v>42</v>
      </c>
      <c r="R129" s="146" t="s">
        <v>110</v>
      </c>
      <c r="S129" s="49" t="s">
        <v>0</v>
      </c>
      <c r="T129" s="1">
        <f>153.3-3</f>
        <v>150.30000000000001</v>
      </c>
      <c r="U129" s="1">
        <f>200+50</f>
        <v>250</v>
      </c>
      <c r="V129" s="1">
        <f>500-101.5+3.3</f>
        <v>401.8</v>
      </c>
      <c r="W129" s="1">
        <f>500-10.3</f>
        <v>489.7</v>
      </c>
      <c r="X129" s="1">
        <v>400</v>
      </c>
      <c r="Y129" s="1">
        <f>400+150</f>
        <v>550</v>
      </c>
      <c r="Z129" s="1">
        <v>700</v>
      </c>
      <c r="AA129" s="53">
        <f t="shared" si="47"/>
        <v>2941.8</v>
      </c>
      <c r="AB129" s="52">
        <v>2024</v>
      </c>
      <c r="AC129" s="31"/>
    </row>
    <row r="130" spans="1:32" ht="47.25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67" t="s">
        <v>111</v>
      </c>
      <c r="S130" s="37" t="s">
        <v>37</v>
      </c>
      <c r="T130" s="40">
        <v>10</v>
      </c>
      <c r="U130" s="40">
        <v>18</v>
      </c>
      <c r="V130" s="40">
        <v>54</v>
      </c>
      <c r="W130" s="40">
        <v>49</v>
      </c>
      <c r="X130" s="40">
        <v>83</v>
      </c>
      <c r="Y130" s="40">
        <v>80</v>
      </c>
      <c r="Z130" s="40">
        <v>80</v>
      </c>
      <c r="AA130" s="43">
        <v>80</v>
      </c>
      <c r="AB130" s="37">
        <v>2024</v>
      </c>
      <c r="AC130" s="31"/>
    </row>
    <row r="131" spans="1:32" ht="31.5" x14ac:dyDescent="0.25">
      <c r="A131" s="48" t="s">
        <v>18</v>
      </c>
      <c r="B131" s="48" t="s">
        <v>19</v>
      </c>
      <c r="C131" s="48" t="s">
        <v>20</v>
      </c>
      <c r="D131" s="48" t="s">
        <v>18</v>
      </c>
      <c r="E131" s="48" t="s">
        <v>21</v>
      </c>
      <c r="F131" s="48" t="s">
        <v>18</v>
      </c>
      <c r="G131" s="48" t="s">
        <v>22</v>
      </c>
      <c r="H131" s="48" t="s">
        <v>19</v>
      </c>
      <c r="I131" s="48" t="s">
        <v>24</v>
      </c>
      <c r="J131" s="48" t="s">
        <v>18</v>
      </c>
      <c r="K131" s="48" t="s">
        <v>18</v>
      </c>
      <c r="L131" s="48" t="s">
        <v>19</v>
      </c>
      <c r="M131" s="48" t="s">
        <v>42</v>
      </c>
      <c r="N131" s="48" t="s">
        <v>42</v>
      </c>
      <c r="O131" s="48" t="s">
        <v>42</v>
      </c>
      <c r="P131" s="48" t="s">
        <v>42</v>
      </c>
      <c r="Q131" s="48" t="s">
        <v>42</v>
      </c>
      <c r="R131" s="146" t="s">
        <v>110</v>
      </c>
      <c r="S131" s="82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4170.8</v>
      </c>
      <c r="AA131" s="53">
        <f t="shared" ref="AA131:AA132" si="48">SUM(T131:Z131)</f>
        <v>4170.8</v>
      </c>
      <c r="AB131" s="52">
        <v>2024</v>
      </c>
      <c r="AC131" s="31"/>
    </row>
    <row r="132" spans="1:32" ht="47.25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67" t="s">
        <v>364</v>
      </c>
      <c r="S132" s="37" t="s">
        <v>37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40">
        <v>0</v>
      </c>
      <c r="Z132" s="40">
        <v>3</v>
      </c>
      <c r="AA132" s="43">
        <f t="shared" si="48"/>
        <v>3</v>
      </c>
      <c r="AB132" s="37">
        <v>2024</v>
      </c>
      <c r="AC132" s="31"/>
    </row>
    <row r="133" spans="1:32" ht="31.5" x14ac:dyDescent="0.25">
      <c r="A133" s="48" t="s">
        <v>18</v>
      </c>
      <c r="B133" s="48" t="s">
        <v>19</v>
      </c>
      <c r="C133" s="48" t="s">
        <v>20</v>
      </c>
      <c r="D133" s="48" t="s">
        <v>18</v>
      </c>
      <c r="E133" s="48" t="s">
        <v>21</v>
      </c>
      <c r="F133" s="48" t="s">
        <v>18</v>
      </c>
      <c r="G133" s="48" t="s">
        <v>22</v>
      </c>
      <c r="H133" s="48" t="s">
        <v>19</v>
      </c>
      <c r="I133" s="48" t="s">
        <v>24</v>
      </c>
      <c r="J133" s="48" t="s">
        <v>18</v>
      </c>
      <c r="K133" s="48" t="s">
        <v>18</v>
      </c>
      <c r="L133" s="48" t="s">
        <v>19</v>
      </c>
      <c r="M133" s="48" t="s">
        <v>42</v>
      </c>
      <c r="N133" s="48" t="s">
        <v>42</v>
      </c>
      <c r="O133" s="48" t="s">
        <v>42</v>
      </c>
      <c r="P133" s="48" t="s">
        <v>42</v>
      </c>
      <c r="Q133" s="48" t="s">
        <v>42</v>
      </c>
      <c r="R133" s="145" t="s">
        <v>112</v>
      </c>
      <c r="S133" s="82" t="s">
        <v>0</v>
      </c>
      <c r="T133" s="53">
        <f>2300+20572-19997.4-439+45+48+203.1-4</f>
        <v>2727.6999999999985</v>
      </c>
      <c r="U133" s="53">
        <f>7300+715</f>
        <v>8015</v>
      </c>
      <c r="V133" s="53">
        <f>3500+2115-846.5</f>
        <v>4768.5</v>
      </c>
      <c r="W133" s="53">
        <f>5200-9.4-104</f>
        <v>5086.6000000000004</v>
      </c>
      <c r="X133" s="53">
        <f>4333.5+524.5+18.8-10</f>
        <v>4866.8</v>
      </c>
      <c r="Y133" s="53">
        <f>5200-800</f>
        <v>4400</v>
      </c>
      <c r="Z133" s="53">
        <v>6788.7</v>
      </c>
      <c r="AA133" s="53">
        <f>SUM(T133:Z133)</f>
        <v>36653.299999999996</v>
      </c>
      <c r="AB133" s="52">
        <v>2024</v>
      </c>
      <c r="AC133" s="110"/>
      <c r="AD133" s="96"/>
      <c r="AE133" s="96"/>
      <c r="AF133" s="96"/>
    </row>
    <row r="134" spans="1:32" s="62" customFormat="1" ht="47.25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67" t="s">
        <v>113</v>
      </c>
      <c r="S134" s="37" t="s">
        <v>48</v>
      </c>
      <c r="T134" s="2">
        <v>8</v>
      </c>
      <c r="U134" s="2">
        <v>10</v>
      </c>
      <c r="V134" s="2">
        <v>10</v>
      </c>
      <c r="W134" s="2">
        <v>10</v>
      </c>
      <c r="X134" s="2">
        <v>10</v>
      </c>
      <c r="Y134" s="2">
        <v>10</v>
      </c>
      <c r="Z134" s="2">
        <v>10</v>
      </c>
      <c r="AA134" s="41">
        <v>10</v>
      </c>
      <c r="AB134" s="37">
        <v>2024</v>
      </c>
      <c r="AC134" s="31"/>
      <c r="AD134" s="89"/>
    </row>
    <row r="135" spans="1:32" ht="31.5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69" t="s">
        <v>114</v>
      </c>
      <c r="S135" s="148" t="s">
        <v>48</v>
      </c>
      <c r="T135" s="2">
        <v>0</v>
      </c>
      <c r="U135" s="2">
        <v>649</v>
      </c>
      <c r="V135" s="2">
        <v>0</v>
      </c>
      <c r="W135" s="2">
        <v>0</v>
      </c>
      <c r="X135" s="2">
        <v>0</v>
      </c>
      <c r="Y135" s="2">
        <v>120</v>
      </c>
      <c r="Z135" s="2">
        <v>500</v>
      </c>
      <c r="AA135" s="41">
        <f>SUM(T135:Z135)</f>
        <v>1269</v>
      </c>
      <c r="AB135" s="148">
        <v>2024</v>
      </c>
      <c r="AC135" s="31"/>
      <c r="AD135" s="89"/>
    </row>
    <row r="136" spans="1:32" s="62" customFormat="1" ht="31.5" x14ac:dyDescent="0.25">
      <c r="A136" s="48"/>
      <c r="B136" s="48"/>
      <c r="C136" s="48"/>
      <c r="D136" s="48" t="s">
        <v>18</v>
      </c>
      <c r="E136" s="48" t="s">
        <v>21</v>
      </c>
      <c r="F136" s="48" t="s">
        <v>18</v>
      </c>
      <c r="G136" s="48" t="s">
        <v>22</v>
      </c>
      <c r="H136" s="48" t="s">
        <v>19</v>
      </c>
      <c r="I136" s="48" t="s">
        <v>24</v>
      </c>
      <c r="J136" s="48" t="s">
        <v>18</v>
      </c>
      <c r="K136" s="48" t="s">
        <v>18</v>
      </c>
      <c r="L136" s="48" t="s">
        <v>19</v>
      </c>
      <c r="M136" s="48" t="s">
        <v>42</v>
      </c>
      <c r="N136" s="48" t="s">
        <v>42</v>
      </c>
      <c r="O136" s="48" t="s">
        <v>42</v>
      </c>
      <c r="P136" s="48" t="s">
        <v>42</v>
      </c>
      <c r="Q136" s="48" t="s">
        <v>42</v>
      </c>
      <c r="R136" s="146" t="s">
        <v>115</v>
      </c>
      <c r="S136" s="52" t="s">
        <v>0</v>
      </c>
      <c r="T136" s="53">
        <f>102300-550-5000-1550.7+43.1+12-12</f>
        <v>95242.400000000009</v>
      </c>
      <c r="U136" s="53">
        <f>83000-4000+50</f>
        <v>79050</v>
      </c>
      <c r="V136" s="53">
        <f>89143.1+50</f>
        <v>89193.1</v>
      </c>
      <c r="W136" s="53">
        <f>W145+W139+W141</f>
        <v>90193.1</v>
      </c>
      <c r="X136" s="53">
        <f>X145+X139+X141</f>
        <v>95814.3</v>
      </c>
      <c r="Y136" s="53">
        <f>Y145+Y139+Y141+Y153</f>
        <v>103314.10000000002</v>
      </c>
      <c r="Z136" s="53">
        <f>Z145+Z139+Z141+Z153</f>
        <v>107888</v>
      </c>
      <c r="AA136" s="53">
        <f>SUM(T136:Z136)</f>
        <v>660695</v>
      </c>
      <c r="AB136" s="52">
        <v>2024</v>
      </c>
      <c r="AC136" s="31"/>
    </row>
    <row r="137" spans="1:32" s="62" customFormat="1" ht="31.5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138" t="s">
        <v>334</v>
      </c>
      <c r="S137" s="37" t="s">
        <v>50</v>
      </c>
      <c r="T137" s="4">
        <v>3.7</v>
      </c>
      <c r="U137" s="4">
        <v>3.8</v>
      </c>
      <c r="V137" s="4">
        <v>3.7</v>
      </c>
      <c r="W137" s="4">
        <f>W146+W142</f>
        <v>3.7</v>
      </c>
      <c r="X137" s="4">
        <f>X146+X142</f>
        <v>3.7</v>
      </c>
      <c r="Y137" s="4">
        <f>Y146+Y142</f>
        <v>3.7</v>
      </c>
      <c r="Z137" s="4">
        <f>Z146+Z142</f>
        <v>3.7</v>
      </c>
      <c r="AA137" s="6">
        <f>Z137</f>
        <v>3.7</v>
      </c>
      <c r="AB137" s="37">
        <v>2024</v>
      </c>
      <c r="AC137" s="31"/>
    </row>
    <row r="138" spans="1:32" s="45" customFormat="1" ht="31.1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67" t="s">
        <v>337</v>
      </c>
      <c r="S138" s="37" t="s">
        <v>50</v>
      </c>
      <c r="T138" s="3">
        <v>2557</v>
      </c>
      <c r="U138" s="3">
        <v>2220.9</v>
      </c>
      <c r="V138" s="3">
        <v>2165.9</v>
      </c>
      <c r="W138" s="3">
        <f>W151+W140+W144</f>
        <v>2189.1</v>
      </c>
      <c r="X138" s="3">
        <f>X151+X140+X144</f>
        <v>2192.6999999999998</v>
      </c>
      <c r="Y138" s="3">
        <f>Y151+Y140+Y154</f>
        <v>2216.5000000000005</v>
      </c>
      <c r="Z138" s="3">
        <f>Z151+Z140+Z144+Z154</f>
        <v>2216.5000000000005</v>
      </c>
      <c r="AA138" s="6">
        <f>Z138</f>
        <v>2216.5000000000005</v>
      </c>
      <c r="AB138" s="37">
        <v>2024</v>
      </c>
      <c r="AC138" s="31"/>
    </row>
    <row r="139" spans="1:32" s="62" customFormat="1" ht="31.5" x14ac:dyDescent="0.25">
      <c r="A139" s="48" t="s">
        <v>18</v>
      </c>
      <c r="B139" s="48" t="s">
        <v>18</v>
      </c>
      <c r="C139" s="48" t="s">
        <v>24</v>
      </c>
      <c r="D139" s="48" t="s">
        <v>18</v>
      </c>
      <c r="E139" s="48" t="s">
        <v>21</v>
      </c>
      <c r="F139" s="48" t="s">
        <v>18</v>
      </c>
      <c r="G139" s="48" t="s">
        <v>22</v>
      </c>
      <c r="H139" s="48" t="s">
        <v>19</v>
      </c>
      <c r="I139" s="48" t="s">
        <v>24</v>
      </c>
      <c r="J139" s="48" t="s">
        <v>18</v>
      </c>
      <c r="K139" s="48" t="s">
        <v>18</v>
      </c>
      <c r="L139" s="48" t="s">
        <v>19</v>
      </c>
      <c r="M139" s="48" t="s">
        <v>42</v>
      </c>
      <c r="N139" s="48" t="s">
        <v>42</v>
      </c>
      <c r="O139" s="48" t="s">
        <v>42</v>
      </c>
      <c r="P139" s="48" t="s">
        <v>42</v>
      </c>
      <c r="Q139" s="48" t="s">
        <v>42</v>
      </c>
      <c r="R139" s="146" t="s">
        <v>115</v>
      </c>
      <c r="S139" s="49" t="s">
        <v>0</v>
      </c>
      <c r="T139" s="1">
        <v>0</v>
      </c>
      <c r="U139" s="1">
        <v>0</v>
      </c>
      <c r="V139" s="1">
        <v>0</v>
      </c>
      <c r="W139" s="1">
        <v>0</v>
      </c>
      <c r="X139" s="1">
        <f>2266.5-1370.3-18.8</f>
        <v>877.40000000000009</v>
      </c>
      <c r="Y139" s="1">
        <f>2266.5-135.3-400-386.7-150-37.9</f>
        <v>1156.5999999999997</v>
      </c>
      <c r="Z139" s="1">
        <v>2266.5</v>
      </c>
      <c r="AA139" s="53">
        <f>SUM(T139:Z139)</f>
        <v>4300.5</v>
      </c>
      <c r="AB139" s="52">
        <v>2024</v>
      </c>
      <c r="AC139" s="31"/>
    </row>
    <row r="140" spans="1:32" s="45" customFormat="1" ht="31.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67" t="s">
        <v>335</v>
      </c>
      <c r="S140" s="37" t="s">
        <v>50</v>
      </c>
      <c r="T140" s="3">
        <v>0</v>
      </c>
      <c r="U140" s="3">
        <v>0</v>
      </c>
      <c r="V140" s="3">
        <v>0</v>
      </c>
      <c r="W140" s="3">
        <v>0</v>
      </c>
      <c r="X140" s="3">
        <v>13.3</v>
      </c>
      <c r="Y140" s="3">
        <v>13.3</v>
      </c>
      <c r="Z140" s="3">
        <v>13.3</v>
      </c>
      <c r="AA140" s="6">
        <f>Z140</f>
        <v>13.3</v>
      </c>
      <c r="AB140" s="37">
        <v>2024</v>
      </c>
      <c r="AC140" s="31"/>
    </row>
    <row r="141" spans="1:32" s="62" customFormat="1" ht="31.5" x14ac:dyDescent="0.25">
      <c r="A141" s="48" t="s">
        <v>18</v>
      </c>
      <c r="B141" s="48" t="s">
        <v>18</v>
      </c>
      <c r="C141" s="48" t="s">
        <v>21</v>
      </c>
      <c r="D141" s="48" t="s">
        <v>18</v>
      </c>
      <c r="E141" s="48" t="s">
        <v>21</v>
      </c>
      <c r="F141" s="48" t="s">
        <v>18</v>
      </c>
      <c r="G141" s="48" t="s">
        <v>22</v>
      </c>
      <c r="H141" s="48" t="s">
        <v>19</v>
      </c>
      <c r="I141" s="48" t="s">
        <v>24</v>
      </c>
      <c r="J141" s="48" t="s">
        <v>18</v>
      </c>
      <c r="K141" s="48" t="s">
        <v>18</v>
      </c>
      <c r="L141" s="48" t="s">
        <v>19</v>
      </c>
      <c r="M141" s="48" t="s">
        <v>42</v>
      </c>
      <c r="N141" s="48" t="s">
        <v>42</v>
      </c>
      <c r="O141" s="48" t="s">
        <v>42</v>
      </c>
      <c r="P141" s="48" t="s">
        <v>42</v>
      </c>
      <c r="Q141" s="48" t="s">
        <v>42</v>
      </c>
      <c r="R141" s="146" t="s">
        <v>115</v>
      </c>
      <c r="S141" s="49" t="s">
        <v>0</v>
      </c>
      <c r="T141" s="1">
        <v>0</v>
      </c>
      <c r="U141" s="1">
        <v>0</v>
      </c>
      <c r="V141" s="1">
        <v>0</v>
      </c>
      <c r="W141" s="1">
        <v>0</v>
      </c>
      <c r="X141" s="1">
        <f>2978.4-622.1-622</f>
        <v>1734.3000000000002</v>
      </c>
      <c r="Y141" s="1">
        <f>2978.4-2771.1</f>
        <v>207.30000000000018</v>
      </c>
      <c r="Z141" s="1">
        <f>2978.4-2978.4</f>
        <v>0</v>
      </c>
      <c r="AA141" s="53">
        <f>SUM(T141:Z141)</f>
        <v>1941.6000000000004</v>
      </c>
      <c r="AB141" s="52">
        <v>2023</v>
      </c>
      <c r="AC141" s="31"/>
    </row>
    <row r="142" spans="1:32" s="62" customFormat="1" ht="47.25" hidden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138" t="s">
        <v>336</v>
      </c>
      <c r="S142" s="37" t="s">
        <v>50</v>
      </c>
      <c r="T142" s="3">
        <v>0</v>
      </c>
      <c r="U142" s="3">
        <v>0</v>
      </c>
      <c r="V142" s="3">
        <v>0</v>
      </c>
      <c r="W142" s="3">
        <v>0</v>
      </c>
      <c r="X142" s="4">
        <v>0</v>
      </c>
      <c r="Y142" s="4">
        <v>0</v>
      </c>
      <c r="Z142" s="4">
        <v>0</v>
      </c>
      <c r="AA142" s="6">
        <f>Z142</f>
        <v>0</v>
      </c>
      <c r="AB142" s="37">
        <v>2024</v>
      </c>
      <c r="AC142" s="31"/>
    </row>
    <row r="143" spans="1:32" s="45" customFormat="1" ht="31.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69" t="s">
        <v>347</v>
      </c>
      <c r="S143" s="148" t="s">
        <v>33</v>
      </c>
      <c r="T143" s="3">
        <v>0</v>
      </c>
      <c r="U143" s="3">
        <v>0</v>
      </c>
      <c r="V143" s="3">
        <v>0</v>
      </c>
      <c r="W143" s="3">
        <v>0</v>
      </c>
      <c r="X143" s="3">
        <v>24.7</v>
      </c>
      <c r="Y143" s="3">
        <v>0</v>
      </c>
      <c r="Z143" s="3">
        <v>0</v>
      </c>
      <c r="AA143" s="6">
        <f t="shared" ref="AA143:AA144" si="49">X143</f>
        <v>24.7</v>
      </c>
      <c r="AB143" s="37">
        <v>2022</v>
      </c>
      <c r="AC143" s="110"/>
      <c r="AD143" s="89"/>
    </row>
    <row r="144" spans="1:32" s="45" customFormat="1" ht="31.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67" t="s">
        <v>348</v>
      </c>
      <c r="S144" s="37" t="s">
        <v>50</v>
      </c>
      <c r="T144" s="3">
        <v>0</v>
      </c>
      <c r="U144" s="3">
        <v>0</v>
      </c>
      <c r="V144" s="3">
        <v>0</v>
      </c>
      <c r="W144" s="3">
        <v>0</v>
      </c>
      <c r="X144" s="3">
        <v>11.2</v>
      </c>
      <c r="Y144" s="3">
        <v>11.2</v>
      </c>
      <c r="Z144" s="3">
        <v>0</v>
      </c>
      <c r="AA144" s="6">
        <f t="shared" si="49"/>
        <v>11.2</v>
      </c>
      <c r="AB144" s="37">
        <v>2023</v>
      </c>
      <c r="AC144" s="31"/>
    </row>
    <row r="145" spans="1:32" s="62" customFormat="1" ht="31.5" x14ac:dyDescent="0.25">
      <c r="A145" s="48" t="s">
        <v>18</v>
      </c>
      <c r="B145" s="48" t="s">
        <v>19</v>
      </c>
      <c r="C145" s="48" t="s">
        <v>20</v>
      </c>
      <c r="D145" s="48" t="s">
        <v>18</v>
      </c>
      <c r="E145" s="48" t="s">
        <v>21</v>
      </c>
      <c r="F145" s="48" t="s">
        <v>18</v>
      </c>
      <c r="G145" s="48" t="s">
        <v>22</v>
      </c>
      <c r="H145" s="48" t="s">
        <v>19</v>
      </c>
      <c r="I145" s="48" t="s">
        <v>24</v>
      </c>
      <c r="J145" s="48" t="s">
        <v>18</v>
      </c>
      <c r="K145" s="48" t="s">
        <v>18</v>
      </c>
      <c r="L145" s="48" t="s">
        <v>19</v>
      </c>
      <c r="M145" s="48" t="s">
        <v>42</v>
      </c>
      <c r="N145" s="48" t="s">
        <v>42</v>
      </c>
      <c r="O145" s="48" t="s">
        <v>42</v>
      </c>
      <c r="P145" s="48" t="s">
        <v>42</v>
      </c>
      <c r="Q145" s="48" t="s">
        <v>42</v>
      </c>
      <c r="R145" s="146" t="s">
        <v>115</v>
      </c>
      <c r="S145" s="49" t="s">
        <v>0</v>
      </c>
      <c r="T145" s="1">
        <f>102300-550-5000-1550.7+43.1+12-12</f>
        <v>95242.400000000009</v>
      </c>
      <c r="U145" s="1">
        <f>83000-4000+50</f>
        <v>79050</v>
      </c>
      <c r="V145" s="1">
        <f>89143.1+50</f>
        <v>89193.1</v>
      </c>
      <c r="W145" s="1">
        <f>89143.1+50+1000</f>
        <v>90193.1</v>
      </c>
      <c r="X145" s="1">
        <v>93202.6</v>
      </c>
      <c r="Y145" s="1">
        <f>99143.1+31.2+4.8</f>
        <v>99179.1</v>
      </c>
      <c r="Z145" s="1">
        <v>102643.1</v>
      </c>
      <c r="AA145" s="53">
        <f>SUM(T145:Z145)</f>
        <v>648703.39999999991</v>
      </c>
      <c r="AB145" s="52">
        <v>2024</v>
      </c>
      <c r="AC145" s="31"/>
    </row>
    <row r="146" spans="1:32" s="62" customFormat="1" ht="47.25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138" t="s">
        <v>349</v>
      </c>
      <c r="S146" s="37" t="s">
        <v>50</v>
      </c>
      <c r="T146" s="4">
        <v>3.7</v>
      </c>
      <c r="U146" s="4">
        <v>3.8</v>
      </c>
      <c r="V146" s="4">
        <v>3.7</v>
      </c>
      <c r="W146" s="4">
        <v>3.7</v>
      </c>
      <c r="X146" s="4">
        <v>3.7</v>
      </c>
      <c r="Y146" s="4">
        <v>3.7</v>
      </c>
      <c r="Z146" s="4">
        <v>3.7</v>
      </c>
      <c r="AA146" s="6">
        <v>3.7</v>
      </c>
      <c r="AB146" s="37">
        <v>2024</v>
      </c>
      <c r="AC146" s="31"/>
    </row>
    <row r="147" spans="1:32" ht="47.25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67" t="s">
        <v>350</v>
      </c>
      <c r="S147" s="37" t="s">
        <v>48</v>
      </c>
      <c r="T147" s="40">
        <v>87</v>
      </c>
      <c r="U147" s="40">
        <v>74</v>
      </c>
      <c r="V147" s="40">
        <v>74</v>
      </c>
      <c r="W147" s="40">
        <v>70</v>
      </c>
      <c r="X147" s="40">
        <v>70</v>
      </c>
      <c r="Y147" s="40">
        <v>70</v>
      </c>
      <c r="Z147" s="40">
        <v>60</v>
      </c>
      <c r="AA147" s="43">
        <f>Z147</f>
        <v>60</v>
      </c>
      <c r="AB147" s="37">
        <v>2024</v>
      </c>
      <c r="AC147" s="110"/>
      <c r="AD147" s="89"/>
    </row>
    <row r="148" spans="1:32" ht="47.4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69" t="s">
        <v>351</v>
      </c>
      <c r="S148" s="148" t="s">
        <v>48</v>
      </c>
      <c r="T148" s="2">
        <v>2400</v>
      </c>
      <c r="U148" s="40">
        <v>2400</v>
      </c>
      <c r="V148" s="40">
        <v>4059</v>
      </c>
      <c r="W148" s="40">
        <v>3100</v>
      </c>
      <c r="X148" s="40">
        <v>3513</v>
      </c>
      <c r="Y148" s="40">
        <v>4100</v>
      </c>
      <c r="Z148" s="40">
        <v>3100</v>
      </c>
      <c r="AA148" s="43">
        <f>SUM(T148:Z148)</f>
        <v>22672</v>
      </c>
      <c r="AB148" s="37">
        <v>2024</v>
      </c>
      <c r="AC148" s="110"/>
      <c r="AD148" s="89"/>
    </row>
    <row r="149" spans="1:32" ht="31.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69" t="s">
        <v>352</v>
      </c>
      <c r="S149" s="148" t="s">
        <v>32</v>
      </c>
      <c r="T149" s="4">
        <v>12100</v>
      </c>
      <c r="U149" s="3">
        <v>11300</v>
      </c>
      <c r="V149" s="3">
        <v>16000</v>
      </c>
      <c r="W149" s="3">
        <v>13499</v>
      </c>
      <c r="X149" s="3">
        <v>13000</v>
      </c>
      <c r="Y149" s="3">
        <v>14400</v>
      </c>
      <c r="Z149" s="3">
        <v>10290</v>
      </c>
      <c r="AA149" s="43">
        <f t="shared" ref="AA149:AA150" si="50">SUM(T149:Z149)</f>
        <v>90589</v>
      </c>
      <c r="AB149" s="37">
        <v>2024</v>
      </c>
      <c r="AC149" s="110"/>
      <c r="AD149" s="89"/>
    </row>
    <row r="150" spans="1:32" s="45" customFormat="1" ht="47.25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69" t="s">
        <v>353</v>
      </c>
      <c r="S150" s="148" t="s">
        <v>33</v>
      </c>
      <c r="T150" s="4">
        <v>8969</v>
      </c>
      <c r="U150" s="3">
        <v>9945</v>
      </c>
      <c r="V150" s="3">
        <v>10275</v>
      </c>
      <c r="W150" s="3">
        <v>10690</v>
      </c>
      <c r="X150" s="3">
        <v>10883</v>
      </c>
      <c r="Y150" s="3">
        <v>8750</v>
      </c>
      <c r="Z150" s="3">
        <v>11471</v>
      </c>
      <c r="AA150" s="43">
        <f t="shared" si="50"/>
        <v>70983</v>
      </c>
      <c r="AB150" s="37">
        <v>2024</v>
      </c>
      <c r="AC150" s="110"/>
      <c r="AD150" s="89"/>
    </row>
    <row r="151" spans="1:32" s="45" customFormat="1" ht="47.25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67" t="s">
        <v>354</v>
      </c>
      <c r="S151" s="37" t="s">
        <v>50</v>
      </c>
      <c r="T151" s="3">
        <v>2557</v>
      </c>
      <c r="U151" s="3">
        <v>2220.9</v>
      </c>
      <c r="V151" s="3">
        <v>2165.9</v>
      </c>
      <c r="W151" s="3">
        <v>2189.1</v>
      </c>
      <c r="X151" s="3">
        <v>2168.1999999999998</v>
      </c>
      <c r="Y151" s="3">
        <v>2170.8000000000002</v>
      </c>
      <c r="Z151" s="3">
        <v>2170.8000000000002</v>
      </c>
      <c r="AA151" s="6">
        <f>Z151</f>
        <v>2170.8000000000002</v>
      </c>
      <c r="AB151" s="37">
        <v>2024</v>
      </c>
      <c r="AC151" s="31"/>
    </row>
    <row r="152" spans="1:32" ht="46.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138" t="s">
        <v>355</v>
      </c>
      <c r="S152" s="37" t="s">
        <v>35</v>
      </c>
      <c r="T152" s="40">
        <v>247</v>
      </c>
      <c r="U152" s="40">
        <v>247</v>
      </c>
      <c r="V152" s="40">
        <v>249</v>
      </c>
      <c r="W152" s="40">
        <v>247</v>
      </c>
      <c r="X152" s="40">
        <v>247</v>
      </c>
      <c r="Y152" s="40">
        <v>247</v>
      </c>
      <c r="Z152" s="40">
        <v>248</v>
      </c>
      <c r="AA152" s="43">
        <f>SUM(T152:Z152)</f>
        <v>1732</v>
      </c>
      <c r="AB152" s="37">
        <v>2024</v>
      </c>
      <c r="AC152" s="31"/>
    </row>
    <row r="153" spans="1:32" s="62" customFormat="1" ht="31.5" x14ac:dyDescent="0.25">
      <c r="A153" s="48" t="s">
        <v>18</v>
      </c>
      <c r="B153" s="48" t="s">
        <v>19</v>
      </c>
      <c r="C153" s="48" t="s">
        <v>24</v>
      </c>
      <c r="D153" s="48" t="s">
        <v>18</v>
      </c>
      <c r="E153" s="48" t="s">
        <v>21</v>
      </c>
      <c r="F153" s="48" t="s">
        <v>18</v>
      </c>
      <c r="G153" s="48" t="s">
        <v>22</v>
      </c>
      <c r="H153" s="48" t="s">
        <v>19</v>
      </c>
      <c r="I153" s="48" t="s">
        <v>24</v>
      </c>
      <c r="J153" s="48" t="s">
        <v>18</v>
      </c>
      <c r="K153" s="48" t="s">
        <v>18</v>
      </c>
      <c r="L153" s="48" t="s">
        <v>19</v>
      </c>
      <c r="M153" s="48" t="s">
        <v>42</v>
      </c>
      <c r="N153" s="48" t="s">
        <v>42</v>
      </c>
      <c r="O153" s="48" t="s">
        <v>42</v>
      </c>
      <c r="P153" s="48" t="s">
        <v>42</v>
      </c>
      <c r="Q153" s="48" t="s">
        <v>42</v>
      </c>
      <c r="R153" s="146" t="s">
        <v>115</v>
      </c>
      <c r="S153" s="49" t="s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2771.1</v>
      </c>
      <c r="Z153" s="1">
        <v>2978.4</v>
      </c>
      <c r="AA153" s="53">
        <f>SUM(T153:Z153)</f>
        <v>5749.5</v>
      </c>
      <c r="AB153" s="52">
        <v>2024</v>
      </c>
      <c r="AC153" s="31"/>
    </row>
    <row r="154" spans="1:32" s="45" customFormat="1" ht="31.5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67" t="s">
        <v>356</v>
      </c>
      <c r="S154" s="37" t="s">
        <v>50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32.4</v>
      </c>
      <c r="Z154" s="3">
        <v>32.4</v>
      </c>
      <c r="AA154" s="6">
        <f>Z154</f>
        <v>32.4</v>
      </c>
      <c r="AB154" s="37">
        <v>2024</v>
      </c>
      <c r="AC154" s="31"/>
    </row>
    <row r="155" spans="1:32" ht="31.5" x14ac:dyDescent="0.25">
      <c r="A155" s="48" t="s">
        <v>18</v>
      </c>
      <c r="B155" s="48" t="s">
        <v>19</v>
      </c>
      <c r="C155" s="48" t="s">
        <v>24</v>
      </c>
      <c r="D155" s="48" t="s">
        <v>18</v>
      </c>
      <c r="E155" s="48" t="s">
        <v>21</v>
      </c>
      <c r="F155" s="48" t="s">
        <v>18</v>
      </c>
      <c r="G155" s="48" t="s">
        <v>22</v>
      </c>
      <c r="H155" s="48" t="s">
        <v>19</v>
      </c>
      <c r="I155" s="48" t="s">
        <v>24</v>
      </c>
      <c r="J155" s="48" t="s">
        <v>18</v>
      </c>
      <c r="K155" s="48" t="s">
        <v>18</v>
      </c>
      <c r="L155" s="48" t="s">
        <v>19</v>
      </c>
      <c r="M155" s="48" t="s">
        <v>42</v>
      </c>
      <c r="N155" s="48" t="s">
        <v>42</v>
      </c>
      <c r="O155" s="48" t="s">
        <v>42</v>
      </c>
      <c r="P155" s="48" t="s">
        <v>42</v>
      </c>
      <c r="Q155" s="48" t="s">
        <v>42</v>
      </c>
      <c r="R155" s="66" t="s">
        <v>116</v>
      </c>
      <c r="S155" s="82" t="s">
        <v>0</v>
      </c>
      <c r="T155" s="53">
        <f>0+236</f>
        <v>236</v>
      </c>
      <c r="U155" s="53">
        <f>1036-229-48-141.6</f>
        <v>617.4</v>
      </c>
      <c r="V155" s="53">
        <f>1036-150-281.7-227.2</f>
        <v>377.09999999999997</v>
      </c>
      <c r="W155" s="53">
        <f>886-30-328.2</f>
        <v>527.79999999999995</v>
      </c>
      <c r="X155" s="53">
        <f>886-30-80-535.2</f>
        <v>240.79999999999995</v>
      </c>
      <c r="Y155" s="53">
        <f>886-75-471.1</f>
        <v>339.9</v>
      </c>
      <c r="Z155" s="53">
        <v>886</v>
      </c>
      <c r="AA155" s="53">
        <f>SUM(T155:Z155)</f>
        <v>3225</v>
      </c>
      <c r="AB155" s="52">
        <v>2024</v>
      </c>
      <c r="AC155" s="31"/>
    </row>
    <row r="156" spans="1:32" ht="30.6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69" t="s">
        <v>117</v>
      </c>
      <c r="S156" s="148" t="s">
        <v>48</v>
      </c>
      <c r="T156" s="2">
        <v>0</v>
      </c>
      <c r="U156" s="2">
        <v>1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43">
        <f>SUM(U156:Z156)</f>
        <v>1</v>
      </c>
      <c r="AB156" s="37">
        <v>2019</v>
      </c>
      <c r="AC156" s="110"/>
      <c r="AD156" s="96"/>
      <c r="AE156" s="96"/>
      <c r="AF156" s="96"/>
    </row>
    <row r="157" spans="1:32" ht="31.5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69" t="s">
        <v>167</v>
      </c>
      <c r="S157" s="148" t="s">
        <v>48</v>
      </c>
      <c r="T157" s="2">
        <v>3</v>
      </c>
      <c r="U157" s="2">
        <f>5-1</f>
        <v>4</v>
      </c>
      <c r="V157" s="2">
        <f t="shared" ref="V157:Z157" si="51">5-1</f>
        <v>4</v>
      </c>
      <c r="W157" s="2">
        <f t="shared" si="51"/>
        <v>4</v>
      </c>
      <c r="X157" s="2">
        <f t="shared" si="51"/>
        <v>4</v>
      </c>
      <c r="Y157" s="2">
        <f t="shared" si="51"/>
        <v>4</v>
      </c>
      <c r="Z157" s="2">
        <f t="shared" si="51"/>
        <v>4</v>
      </c>
      <c r="AA157" s="43">
        <v>4</v>
      </c>
      <c r="AB157" s="37">
        <v>2024</v>
      </c>
      <c r="AC157" s="31"/>
      <c r="AD157" s="96"/>
      <c r="AE157" s="96"/>
      <c r="AF157" s="96"/>
    </row>
    <row r="158" spans="1:32" ht="31.5" x14ac:dyDescent="0.25">
      <c r="A158" s="48" t="s">
        <v>18</v>
      </c>
      <c r="B158" s="48" t="s">
        <v>19</v>
      </c>
      <c r="C158" s="48" t="s">
        <v>20</v>
      </c>
      <c r="D158" s="48" t="s">
        <v>18</v>
      </c>
      <c r="E158" s="48" t="s">
        <v>21</v>
      </c>
      <c r="F158" s="48" t="s">
        <v>18</v>
      </c>
      <c r="G158" s="48" t="s">
        <v>22</v>
      </c>
      <c r="H158" s="48" t="s">
        <v>19</v>
      </c>
      <c r="I158" s="48" t="s">
        <v>24</v>
      </c>
      <c r="J158" s="48" t="s">
        <v>18</v>
      </c>
      <c r="K158" s="48" t="s">
        <v>18</v>
      </c>
      <c r="L158" s="48" t="s">
        <v>19</v>
      </c>
      <c r="M158" s="48" t="s">
        <v>42</v>
      </c>
      <c r="N158" s="48" t="s">
        <v>42</v>
      </c>
      <c r="O158" s="48" t="s">
        <v>42</v>
      </c>
      <c r="P158" s="48" t="s">
        <v>42</v>
      </c>
      <c r="Q158" s="48" t="s">
        <v>42</v>
      </c>
      <c r="R158" s="66" t="s">
        <v>162</v>
      </c>
      <c r="S158" s="82" t="s">
        <v>0</v>
      </c>
      <c r="T158" s="53">
        <f>0+550+1550.7</f>
        <v>2100.6999999999998</v>
      </c>
      <c r="U158" s="53">
        <f>0+4000</f>
        <v>4000</v>
      </c>
      <c r="V158" s="53">
        <f>0</f>
        <v>0</v>
      </c>
      <c r="W158" s="53">
        <f>0</f>
        <v>0</v>
      </c>
      <c r="X158" s="53">
        <f>3179.1+3307.4-3092.8</f>
        <v>3393.7</v>
      </c>
      <c r="Y158" s="53">
        <f>0</f>
        <v>0</v>
      </c>
      <c r="Z158" s="53">
        <f>18000+13700</f>
        <v>31700</v>
      </c>
      <c r="AA158" s="53">
        <f>SUM(T158:Z158)</f>
        <v>41194.400000000001</v>
      </c>
      <c r="AB158" s="52">
        <v>2024</v>
      </c>
      <c r="AC158" s="31"/>
    </row>
    <row r="159" spans="1:32" ht="30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69" t="s">
        <v>161</v>
      </c>
      <c r="S159" s="148" t="s">
        <v>37</v>
      </c>
      <c r="T159" s="2">
        <v>2</v>
      </c>
      <c r="U159" s="2">
        <v>1</v>
      </c>
      <c r="V159" s="2">
        <v>0</v>
      </c>
      <c r="W159" s="2">
        <v>0</v>
      </c>
      <c r="X159" s="2">
        <v>2</v>
      </c>
      <c r="Y159" s="2">
        <v>0</v>
      </c>
      <c r="Z159" s="2">
        <v>2</v>
      </c>
      <c r="AA159" s="43">
        <f>SUM(T159:Z159)</f>
        <v>7</v>
      </c>
      <c r="AB159" s="37">
        <v>2024</v>
      </c>
      <c r="AC159" s="110"/>
      <c r="AD159" s="96"/>
      <c r="AE159" s="96"/>
      <c r="AF159" s="96"/>
    </row>
    <row r="160" spans="1:32" ht="15.6" customHeight="1" x14ac:dyDescent="0.25">
      <c r="A160" s="48"/>
      <c r="B160" s="48"/>
      <c r="C160" s="48"/>
      <c r="D160" s="48" t="s">
        <v>18</v>
      </c>
      <c r="E160" s="48" t="s">
        <v>21</v>
      </c>
      <c r="F160" s="48" t="s">
        <v>18</v>
      </c>
      <c r="G160" s="48" t="s">
        <v>22</v>
      </c>
      <c r="H160" s="48" t="s">
        <v>19</v>
      </c>
      <c r="I160" s="48" t="s">
        <v>24</v>
      </c>
      <c r="J160" s="48" t="s">
        <v>18</v>
      </c>
      <c r="K160" s="48" t="s">
        <v>230</v>
      </c>
      <c r="L160" s="48" t="s">
        <v>20</v>
      </c>
      <c r="M160" s="48" t="s">
        <v>18</v>
      </c>
      <c r="N160" s="48" t="s">
        <v>18</v>
      </c>
      <c r="O160" s="48" t="s">
        <v>18</v>
      </c>
      <c r="P160" s="48" t="s">
        <v>18</v>
      </c>
      <c r="Q160" s="48" t="s">
        <v>18</v>
      </c>
      <c r="R160" s="160" t="s">
        <v>251</v>
      </c>
      <c r="S160" s="150" t="s">
        <v>0</v>
      </c>
      <c r="T160" s="53">
        <v>0</v>
      </c>
      <c r="U160" s="53">
        <f>SUM(U161:U167)</f>
        <v>116632.7</v>
      </c>
      <c r="V160" s="53">
        <f t="shared" ref="V160:Z160" si="52">SUM(V161:V167)</f>
        <v>125649.7</v>
      </c>
      <c r="W160" s="53">
        <f t="shared" si="52"/>
        <v>80922.399999999994</v>
      </c>
      <c r="X160" s="53">
        <f t="shared" si="52"/>
        <v>100500</v>
      </c>
      <c r="Y160" s="53">
        <f t="shared" si="52"/>
        <v>92980.6</v>
      </c>
      <c r="Z160" s="53">
        <f t="shared" si="52"/>
        <v>78000</v>
      </c>
      <c r="AA160" s="53">
        <f>SUM(T160:Z160)</f>
        <v>594685.4</v>
      </c>
      <c r="AB160" s="52">
        <v>2024</v>
      </c>
      <c r="AD160" s="91"/>
      <c r="AE160" s="91"/>
    </row>
    <row r="161" spans="1:31" ht="15.75" hidden="1" customHeight="1" x14ac:dyDescent="0.25">
      <c r="A161" s="48" t="s">
        <v>18</v>
      </c>
      <c r="B161" s="48" t="s">
        <v>19</v>
      </c>
      <c r="C161" s="48" t="s">
        <v>20</v>
      </c>
      <c r="D161" s="48" t="s">
        <v>18</v>
      </c>
      <c r="E161" s="48" t="s">
        <v>21</v>
      </c>
      <c r="F161" s="48" t="s">
        <v>18</v>
      </c>
      <c r="G161" s="48" t="s">
        <v>22</v>
      </c>
      <c r="H161" s="48" t="s">
        <v>19</v>
      </c>
      <c r="I161" s="48" t="s">
        <v>24</v>
      </c>
      <c r="J161" s="48" t="s">
        <v>18</v>
      </c>
      <c r="K161" s="48" t="s">
        <v>230</v>
      </c>
      <c r="L161" s="48" t="s">
        <v>20</v>
      </c>
      <c r="M161" s="48" t="s">
        <v>21</v>
      </c>
      <c r="N161" s="48" t="s">
        <v>21</v>
      </c>
      <c r="O161" s="48" t="s">
        <v>21</v>
      </c>
      <c r="P161" s="48" t="s">
        <v>21</v>
      </c>
      <c r="Q161" s="48" t="s">
        <v>19</v>
      </c>
      <c r="R161" s="161"/>
      <c r="S161" s="151"/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53">
        <f>SUM(T161:Z161)</f>
        <v>0</v>
      </c>
      <c r="AB161" s="52">
        <v>2024</v>
      </c>
      <c r="AD161" s="91"/>
      <c r="AE161" s="91"/>
    </row>
    <row r="162" spans="1:31" x14ac:dyDescent="0.25">
      <c r="A162" s="48" t="s">
        <v>18</v>
      </c>
      <c r="B162" s="48" t="s">
        <v>24</v>
      </c>
      <c r="C162" s="48" t="s">
        <v>22</v>
      </c>
      <c r="D162" s="48" t="s">
        <v>18</v>
      </c>
      <c r="E162" s="48" t="s">
        <v>21</v>
      </c>
      <c r="F162" s="48" t="s">
        <v>18</v>
      </c>
      <c r="G162" s="48" t="s">
        <v>22</v>
      </c>
      <c r="H162" s="48" t="s">
        <v>19</v>
      </c>
      <c r="I162" s="48" t="s">
        <v>24</v>
      </c>
      <c r="J162" s="48" t="s">
        <v>18</v>
      </c>
      <c r="K162" s="48" t="s">
        <v>230</v>
      </c>
      <c r="L162" s="48" t="s">
        <v>20</v>
      </c>
      <c r="M162" s="48" t="s">
        <v>21</v>
      </c>
      <c r="N162" s="48" t="s">
        <v>21</v>
      </c>
      <c r="O162" s="48" t="s">
        <v>21</v>
      </c>
      <c r="P162" s="48" t="s">
        <v>21</v>
      </c>
      <c r="Q162" s="48" t="s">
        <v>19</v>
      </c>
      <c r="R162" s="161"/>
      <c r="S162" s="151"/>
      <c r="T162" s="1">
        <v>0</v>
      </c>
      <c r="U162" s="1">
        <f>115690</f>
        <v>115690</v>
      </c>
      <c r="V162" s="1">
        <v>112612.2</v>
      </c>
      <c r="W162" s="1">
        <f>77969.8+435.9</f>
        <v>78405.7</v>
      </c>
      <c r="X162" s="1">
        <f>74023.7+111.3+0.1</f>
        <v>74135.100000000006</v>
      </c>
      <c r="Y162" s="1">
        <v>79298.8</v>
      </c>
      <c r="Z162" s="1">
        <f>68000+686.8</f>
        <v>68686.8</v>
      </c>
      <c r="AA162" s="53">
        <f t="shared" ref="AA162" si="53">SUM(T162:Z162)</f>
        <v>528828.6</v>
      </c>
      <c r="AB162" s="52">
        <v>2024</v>
      </c>
      <c r="AD162" s="91"/>
      <c r="AE162" s="91"/>
    </row>
    <row r="163" spans="1:31" ht="15.6" hidden="1" customHeight="1" x14ac:dyDescent="0.25">
      <c r="A163" s="48" t="s">
        <v>18</v>
      </c>
      <c r="B163" s="48" t="s">
        <v>19</v>
      </c>
      <c r="C163" s="48" t="s">
        <v>20</v>
      </c>
      <c r="D163" s="48" t="s">
        <v>18</v>
      </c>
      <c r="E163" s="48" t="s">
        <v>21</v>
      </c>
      <c r="F163" s="48" t="s">
        <v>18</v>
      </c>
      <c r="G163" s="48" t="s">
        <v>22</v>
      </c>
      <c r="H163" s="48" t="s">
        <v>19</v>
      </c>
      <c r="I163" s="48" t="s">
        <v>24</v>
      </c>
      <c r="J163" s="48" t="s">
        <v>18</v>
      </c>
      <c r="K163" s="48" t="s">
        <v>18</v>
      </c>
      <c r="L163" s="48" t="s">
        <v>19</v>
      </c>
      <c r="M163" s="48" t="s">
        <v>42</v>
      </c>
      <c r="N163" s="48" t="s">
        <v>42</v>
      </c>
      <c r="O163" s="48" t="s">
        <v>42</v>
      </c>
      <c r="P163" s="48" t="s">
        <v>42</v>
      </c>
      <c r="Q163" s="48" t="s">
        <v>42</v>
      </c>
      <c r="R163" s="161"/>
      <c r="S163" s="151"/>
      <c r="T163" s="1">
        <v>0</v>
      </c>
      <c r="U163" s="1">
        <f>840+131.2-50-921.2</f>
        <v>0</v>
      </c>
      <c r="V163" s="1">
        <f>150+100+100-350</f>
        <v>0</v>
      </c>
      <c r="W163" s="1">
        <v>0</v>
      </c>
      <c r="X163" s="1">
        <v>0</v>
      </c>
      <c r="Y163" s="1">
        <v>0</v>
      </c>
      <c r="Z163" s="1">
        <v>0</v>
      </c>
      <c r="AA163" s="53">
        <f t="shared" ref="AA163" si="54">SUM(T163:Z163)</f>
        <v>0</v>
      </c>
      <c r="AB163" s="52">
        <v>2020</v>
      </c>
      <c r="AD163" s="91"/>
      <c r="AE163" s="91"/>
    </row>
    <row r="164" spans="1:31" x14ac:dyDescent="0.25">
      <c r="A164" s="48" t="s">
        <v>18</v>
      </c>
      <c r="B164" s="48" t="s">
        <v>24</v>
      </c>
      <c r="C164" s="48" t="s">
        <v>22</v>
      </c>
      <c r="D164" s="48" t="s">
        <v>18</v>
      </c>
      <c r="E164" s="48" t="s">
        <v>21</v>
      </c>
      <c r="F164" s="48" t="s">
        <v>18</v>
      </c>
      <c r="G164" s="48" t="s">
        <v>22</v>
      </c>
      <c r="H164" s="48" t="s">
        <v>19</v>
      </c>
      <c r="I164" s="48" t="s">
        <v>24</v>
      </c>
      <c r="J164" s="48" t="s">
        <v>18</v>
      </c>
      <c r="K164" s="48" t="s">
        <v>230</v>
      </c>
      <c r="L164" s="48" t="s">
        <v>18</v>
      </c>
      <c r="M164" s="48" t="s">
        <v>18</v>
      </c>
      <c r="N164" s="48" t="s">
        <v>21</v>
      </c>
      <c r="O164" s="48" t="s">
        <v>21</v>
      </c>
      <c r="P164" s="48" t="s">
        <v>21</v>
      </c>
      <c r="Q164" s="48" t="s">
        <v>19</v>
      </c>
      <c r="R164" s="161"/>
      <c r="S164" s="151"/>
      <c r="T164" s="1">
        <v>0</v>
      </c>
      <c r="U164" s="1">
        <f>2865.5-1232.8-690</f>
        <v>942.7</v>
      </c>
      <c r="V164" s="1">
        <v>4437.5</v>
      </c>
      <c r="W164" s="1">
        <f>4265.6-1748.9</f>
        <v>2516.7000000000003</v>
      </c>
      <c r="X164" s="1">
        <f>6584.3+9447.3-0.1</f>
        <v>16031.499999999998</v>
      </c>
      <c r="Y164" s="1">
        <f>9207+15374.8-10900</f>
        <v>13681.8</v>
      </c>
      <c r="Z164" s="1">
        <v>0</v>
      </c>
      <c r="AA164" s="53">
        <f>SUM(T164:Z164)</f>
        <v>37610.199999999997</v>
      </c>
      <c r="AB164" s="52">
        <v>2024</v>
      </c>
      <c r="AD164" s="91"/>
      <c r="AE164" s="91"/>
    </row>
    <row r="165" spans="1:31" x14ac:dyDescent="0.25">
      <c r="A165" s="48" t="s">
        <v>18</v>
      </c>
      <c r="B165" s="48" t="s">
        <v>24</v>
      </c>
      <c r="C165" s="48" t="s">
        <v>22</v>
      </c>
      <c r="D165" s="48" t="s">
        <v>18</v>
      </c>
      <c r="E165" s="48" t="s">
        <v>21</v>
      </c>
      <c r="F165" s="48" t="s">
        <v>18</v>
      </c>
      <c r="G165" s="48" t="s">
        <v>22</v>
      </c>
      <c r="H165" s="48" t="s">
        <v>19</v>
      </c>
      <c r="I165" s="48" t="s">
        <v>24</v>
      </c>
      <c r="J165" s="48" t="s">
        <v>18</v>
      </c>
      <c r="K165" s="48" t="s">
        <v>230</v>
      </c>
      <c r="L165" s="48" t="s">
        <v>20</v>
      </c>
      <c r="M165" s="48" t="s">
        <v>378</v>
      </c>
      <c r="N165" s="48" t="s">
        <v>21</v>
      </c>
      <c r="O165" s="48" t="s">
        <v>21</v>
      </c>
      <c r="P165" s="48" t="s">
        <v>21</v>
      </c>
      <c r="Q165" s="48" t="s">
        <v>19</v>
      </c>
      <c r="R165" s="161"/>
      <c r="S165" s="151"/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9313.2000000000007</v>
      </c>
      <c r="AA165" s="53">
        <f>SUM(T165:Z165)</f>
        <v>9313.2000000000007</v>
      </c>
      <c r="AB165" s="52">
        <v>2024</v>
      </c>
      <c r="AD165" s="91"/>
      <c r="AE165" s="91"/>
    </row>
    <row r="166" spans="1:31" x14ac:dyDescent="0.25">
      <c r="A166" s="48" t="s">
        <v>18</v>
      </c>
      <c r="B166" s="48" t="s">
        <v>24</v>
      </c>
      <c r="C166" s="48" t="s">
        <v>22</v>
      </c>
      <c r="D166" s="48" t="s">
        <v>18</v>
      </c>
      <c r="E166" s="48" t="s">
        <v>21</v>
      </c>
      <c r="F166" s="48" t="s">
        <v>18</v>
      </c>
      <c r="G166" s="48" t="s">
        <v>21</v>
      </c>
      <c r="H166" s="48" t="s">
        <v>19</v>
      </c>
      <c r="I166" s="48" t="s">
        <v>24</v>
      </c>
      <c r="J166" s="48" t="s">
        <v>18</v>
      </c>
      <c r="K166" s="48" t="s">
        <v>230</v>
      </c>
      <c r="L166" s="48" t="s">
        <v>20</v>
      </c>
      <c r="M166" s="48" t="s">
        <v>21</v>
      </c>
      <c r="N166" s="48" t="s">
        <v>21</v>
      </c>
      <c r="O166" s="48" t="s">
        <v>21</v>
      </c>
      <c r="P166" s="48" t="s">
        <v>21</v>
      </c>
      <c r="Q166" s="48" t="s">
        <v>19</v>
      </c>
      <c r="R166" s="161"/>
      <c r="S166" s="151"/>
      <c r="T166" s="1">
        <v>0</v>
      </c>
      <c r="U166" s="1">
        <v>0</v>
      </c>
      <c r="V166" s="1">
        <v>8600</v>
      </c>
      <c r="W166" s="1">
        <v>0</v>
      </c>
      <c r="X166" s="1">
        <v>0</v>
      </c>
      <c r="Y166" s="1">
        <v>0</v>
      </c>
      <c r="Z166" s="1">
        <v>0</v>
      </c>
      <c r="AA166" s="53">
        <f t="shared" ref="AA166:AA167" si="55">SUM(T166:Z166)</f>
        <v>8600</v>
      </c>
      <c r="AB166" s="52">
        <v>2020</v>
      </c>
      <c r="AD166" s="91"/>
      <c r="AE166" s="91"/>
    </row>
    <row r="167" spans="1:31" x14ac:dyDescent="0.25">
      <c r="A167" s="48" t="s">
        <v>18</v>
      </c>
      <c r="B167" s="48" t="s">
        <v>24</v>
      </c>
      <c r="C167" s="48" t="s">
        <v>22</v>
      </c>
      <c r="D167" s="48" t="s">
        <v>18</v>
      </c>
      <c r="E167" s="48" t="s">
        <v>21</v>
      </c>
      <c r="F167" s="48" t="s">
        <v>18</v>
      </c>
      <c r="G167" s="48" t="s">
        <v>22</v>
      </c>
      <c r="H167" s="48" t="s">
        <v>19</v>
      </c>
      <c r="I167" s="48" t="s">
        <v>24</v>
      </c>
      <c r="J167" s="48" t="s">
        <v>18</v>
      </c>
      <c r="K167" s="48" t="s">
        <v>18</v>
      </c>
      <c r="L167" s="48" t="s">
        <v>19</v>
      </c>
      <c r="M167" s="48" t="s">
        <v>18</v>
      </c>
      <c r="N167" s="48" t="s">
        <v>19</v>
      </c>
      <c r="O167" s="48" t="s">
        <v>24</v>
      </c>
      <c r="P167" s="48" t="s">
        <v>18</v>
      </c>
      <c r="Q167" s="48" t="s">
        <v>18</v>
      </c>
      <c r="R167" s="162"/>
      <c r="S167" s="152"/>
      <c r="T167" s="1">
        <v>0</v>
      </c>
      <c r="U167" s="1">
        <v>0</v>
      </c>
      <c r="V167" s="1">
        <v>0</v>
      </c>
      <c r="W167" s="1">
        <v>0</v>
      </c>
      <c r="X167" s="1">
        <v>10333.4</v>
      </c>
      <c r="Y167" s="1">
        <v>0</v>
      </c>
      <c r="Z167" s="1">
        <v>0</v>
      </c>
      <c r="AA167" s="53">
        <f t="shared" si="55"/>
        <v>10333.4</v>
      </c>
      <c r="AB167" s="52">
        <v>2022</v>
      </c>
      <c r="AD167" s="91"/>
      <c r="AE167" s="91"/>
    </row>
    <row r="168" spans="1:31" ht="31.5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69" t="s">
        <v>72</v>
      </c>
      <c r="S168" s="55" t="s">
        <v>37</v>
      </c>
      <c r="T168" s="2">
        <v>0</v>
      </c>
      <c r="U168" s="2">
        <v>6</v>
      </c>
      <c r="V168" s="40">
        <v>4</v>
      </c>
      <c r="W168" s="40">
        <v>2</v>
      </c>
      <c r="X168" s="40">
        <v>3</v>
      </c>
      <c r="Y168" s="2">
        <v>2</v>
      </c>
      <c r="Z168" s="2">
        <v>1</v>
      </c>
      <c r="AA168" s="43">
        <f>SUM(T168:Z168)</f>
        <v>18</v>
      </c>
      <c r="AB168" s="148">
        <v>2024</v>
      </c>
      <c r="AD168" s="91"/>
      <c r="AE168" s="91"/>
    </row>
    <row r="169" spans="1:31" ht="31.1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69" t="s">
        <v>73</v>
      </c>
      <c r="S169" s="55" t="s">
        <v>50</v>
      </c>
      <c r="T169" s="4">
        <v>0</v>
      </c>
      <c r="U169" s="4">
        <v>58.4</v>
      </c>
      <c r="V169" s="3">
        <f>33.1+13.1</f>
        <v>46.2</v>
      </c>
      <c r="W169" s="3">
        <f>37.9+28.5</f>
        <v>66.400000000000006</v>
      </c>
      <c r="X169" s="3">
        <f>12.5+16.5+28.5</f>
        <v>57.5</v>
      </c>
      <c r="Y169" s="4">
        <f>16.5+5.3</f>
        <v>21.8</v>
      </c>
      <c r="Z169" s="4">
        <f>5.7</f>
        <v>5.7</v>
      </c>
      <c r="AA169" s="6">
        <f>SUM(T169:Z169)</f>
        <v>256</v>
      </c>
      <c r="AB169" s="37">
        <v>2024</v>
      </c>
      <c r="AD169" s="91"/>
      <c r="AE169" s="91"/>
    </row>
    <row r="170" spans="1:31" ht="31.5" x14ac:dyDescent="0.25">
      <c r="A170" s="48" t="s">
        <v>18</v>
      </c>
      <c r="B170" s="48" t="s">
        <v>18</v>
      </c>
      <c r="C170" s="48" t="s">
        <v>25</v>
      </c>
      <c r="D170" s="48" t="s">
        <v>18</v>
      </c>
      <c r="E170" s="48" t="s">
        <v>21</v>
      </c>
      <c r="F170" s="48" t="s">
        <v>18</v>
      </c>
      <c r="G170" s="48" t="s">
        <v>22</v>
      </c>
      <c r="H170" s="48" t="s">
        <v>19</v>
      </c>
      <c r="I170" s="48" t="s">
        <v>24</v>
      </c>
      <c r="J170" s="48" t="s">
        <v>18</v>
      </c>
      <c r="K170" s="48" t="s">
        <v>18</v>
      </c>
      <c r="L170" s="48" t="s">
        <v>19</v>
      </c>
      <c r="M170" s="48" t="s">
        <v>19</v>
      </c>
      <c r="N170" s="48" t="s">
        <v>19</v>
      </c>
      <c r="O170" s="48" t="s">
        <v>19</v>
      </c>
      <c r="P170" s="48" t="s">
        <v>165</v>
      </c>
      <c r="Q170" s="48" t="s">
        <v>18</v>
      </c>
      <c r="R170" s="66" t="s">
        <v>295</v>
      </c>
      <c r="S170" s="49" t="s">
        <v>0</v>
      </c>
      <c r="T170" s="53">
        <v>0</v>
      </c>
      <c r="U170" s="53">
        <f>103354.8-103354.8</f>
        <v>0</v>
      </c>
      <c r="V170" s="53">
        <v>1000</v>
      </c>
      <c r="W170" s="53">
        <v>0</v>
      </c>
      <c r="X170" s="53">
        <v>0</v>
      </c>
      <c r="Y170" s="53">
        <v>0</v>
      </c>
      <c r="Z170" s="53">
        <v>0</v>
      </c>
      <c r="AA170" s="53">
        <f>SUM(T170:Y170)</f>
        <v>1000</v>
      </c>
      <c r="AB170" s="52">
        <v>2020</v>
      </c>
      <c r="AD170" s="91"/>
      <c r="AE170" s="91"/>
    </row>
    <row r="171" spans="1:31" ht="31.5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67" t="s">
        <v>294</v>
      </c>
      <c r="S171" s="37" t="s">
        <v>37</v>
      </c>
      <c r="T171" s="40">
        <v>0</v>
      </c>
      <c r="U171" s="40">
        <v>0</v>
      </c>
      <c r="V171" s="40">
        <v>1</v>
      </c>
      <c r="W171" s="40">
        <v>0</v>
      </c>
      <c r="X171" s="40">
        <v>0</v>
      </c>
      <c r="Y171" s="40">
        <v>0</v>
      </c>
      <c r="Z171" s="40">
        <v>0</v>
      </c>
      <c r="AA171" s="43">
        <f t="shared" ref="AA171" si="56">SUM(T171:Y171)</f>
        <v>1</v>
      </c>
      <c r="AB171" s="63">
        <v>2020</v>
      </c>
      <c r="AD171" s="91"/>
      <c r="AE171" s="91"/>
    </row>
    <row r="172" spans="1:31" ht="31.5" x14ac:dyDescent="0.25">
      <c r="A172" s="48"/>
      <c r="B172" s="48"/>
      <c r="C172" s="48"/>
      <c r="D172" s="48" t="s">
        <v>18</v>
      </c>
      <c r="E172" s="48" t="s">
        <v>21</v>
      </c>
      <c r="F172" s="48" t="s">
        <v>18</v>
      </c>
      <c r="G172" s="48" t="s">
        <v>22</v>
      </c>
      <c r="H172" s="48" t="s">
        <v>19</v>
      </c>
      <c r="I172" s="48" t="s">
        <v>24</v>
      </c>
      <c r="J172" s="48" t="s">
        <v>18</v>
      </c>
      <c r="K172" s="48" t="s">
        <v>18</v>
      </c>
      <c r="L172" s="48" t="s">
        <v>19</v>
      </c>
      <c r="M172" s="48" t="s">
        <v>42</v>
      </c>
      <c r="N172" s="48" t="s">
        <v>42</v>
      </c>
      <c r="O172" s="48" t="s">
        <v>42</v>
      </c>
      <c r="P172" s="48" t="s">
        <v>42</v>
      </c>
      <c r="Q172" s="48" t="s">
        <v>42</v>
      </c>
      <c r="R172" s="66" t="s">
        <v>297</v>
      </c>
      <c r="S172" s="52" t="s">
        <v>0</v>
      </c>
      <c r="T172" s="53">
        <v>0</v>
      </c>
      <c r="U172" s="53">
        <f>103354.8-103354.8</f>
        <v>0</v>
      </c>
      <c r="V172" s="53">
        <v>0</v>
      </c>
      <c r="W172" s="53">
        <f t="shared" ref="W172:Z172" si="57">W174+W176+W178+W180</f>
        <v>2070.3000000000002</v>
      </c>
      <c r="X172" s="53">
        <f t="shared" si="57"/>
        <v>1579.4</v>
      </c>
      <c r="Y172" s="53">
        <f t="shared" si="57"/>
        <v>1525.4</v>
      </c>
      <c r="Z172" s="53">
        <f t="shared" si="57"/>
        <v>3750</v>
      </c>
      <c r="AA172" s="53">
        <f t="shared" ref="AA172:AA181" si="58">SUM(T172:Z172)</f>
        <v>8925.1</v>
      </c>
      <c r="AB172" s="52">
        <v>2024</v>
      </c>
      <c r="AD172" s="91"/>
      <c r="AE172" s="91"/>
    </row>
    <row r="173" spans="1:31" ht="31.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67" t="s">
        <v>310</v>
      </c>
      <c r="S173" s="37" t="s">
        <v>50</v>
      </c>
      <c r="T173" s="40">
        <v>0</v>
      </c>
      <c r="U173" s="40">
        <v>0</v>
      </c>
      <c r="V173" s="40">
        <v>0</v>
      </c>
      <c r="W173" s="3">
        <f t="shared" ref="W173:Z173" si="59">W175+W177+W179+W181</f>
        <v>796.2</v>
      </c>
      <c r="X173" s="3">
        <f t="shared" si="59"/>
        <v>792.3</v>
      </c>
      <c r="Y173" s="3">
        <f t="shared" si="59"/>
        <v>895.19999999999993</v>
      </c>
      <c r="Z173" s="3">
        <f t="shared" si="59"/>
        <v>413.5</v>
      </c>
      <c r="AA173" s="6">
        <f>SUM(T173:Z173)</f>
        <v>2897.2</v>
      </c>
      <c r="AB173" s="37">
        <v>2024</v>
      </c>
      <c r="AD173" s="91"/>
      <c r="AE173" s="91"/>
    </row>
    <row r="174" spans="1:31" ht="31.5" x14ac:dyDescent="0.25">
      <c r="A174" s="48" t="s">
        <v>18</v>
      </c>
      <c r="B174" s="48" t="s">
        <v>18</v>
      </c>
      <c r="C174" s="48" t="s">
        <v>22</v>
      </c>
      <c r="D174" s="48" t="s">
        <v>18</v>
      </c>
      <c r="E174" s="48" t="s">
        <v>21</v>
      </c>
      <c r="F174" s="48" t="s">
        <v>18</v>
      </c>
      <c r="G174" s="48" t="s">
        <v>22</v>
      </c>
      <c r="H174" s="48" t="s">
        <v>19</v>
      </c>
      <c r="I174" s="48" t="s">
        <v>24</v>
      </c>
      <c r="J174" s="48" t="s">
        <v>18</v>
      </c>
      <c r="K174" s="48" t="s">
        <v>18</v>
      </c>
      <c r="L174" s="48" t="s">
        <v>19</v>
      </c>
      <c r="M174" s="48" t="s">
        <v>42</v>
      </c>
      <c r="N174" s="48" t="s">
        <v>42</v>
      </c>
      <c r="O174" s="48" t="s">
        <v>42</v>
      </c>
      <c r="P174" s="48" t="s">
        <v>42</v>
      </c>
      <c r="Q174" s="48" t="s">
        <v>42</v>
      </c>
      <c r="R174" s="66" t="s">
        <v>297</v>
      </c>
      <c r="S174" s="49" t="s">
        <v>0</v>
      </c>
      <c r="T174" s="1">
        <v>0</v>
      </c>
      <c r="U174" s="1">
        <f t="shared" ref="U174" si="60">103354.8-103354.8</f>
        <v>0</v>
      </c>
      <c r="V174" s="1">
        <v>0</v>
      </c>
      <c r="W174" s="1">
        <f>2000-1135.9-630.3</f>
        <v>233.79999999999995</v>
      </c>
      <c r="X174" s="1">
        <f>2000-177-1287-327.4</f>
        <v>208.60000000000002</v>
      </c>
      <c r="Y174" s="1">
        <f>2000-717-803</f>
        <v>480</v>
      </c>
      <c r="Z174" s="1">
        <v>1000</v>
      </c>
      <c r="AA174" s="53">
        <f t="shared" si="58"/>
        <v>1922.4</v>
      </c>
      <c r="AB174" s="52">
        <v>2024</v>
      </c>
      <c r="AD174" s="91"/>
      <c r="AE174" s="91"/>
    </row>
    <row r="175" spans="1:31" ht="47.25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139" t="s">
        <v>311</v>
      </c>
      <c r="S175" s="37" t="s">
        <v>50</v>
      </c>
      <c r="T175" s="40">
        <v>0</v>
      </c>
      <c r="U175" s="40">
        <v>0</v>
      </c>
      <c r="V175" s="40">
        <v>0</v>
      </c>
      <c r="W175" s="3">
        <v>135</v>
      </c>
      <c r="X175" s="3">
        <v>91.5</v>
      </c>
      <c r="Y175" s="3">
        <v>264.3</v>
      </c>
      <c r="Z175" s="3">
        <v>109.3</v>
      </c>
      <c r="AA175" s="6">
        <f t="shared" si="58"/>
        <v>600.1</v>
      </c>
      <c r="AB175" s="37">
        <v>2024</v>
      </c>
      <c r="AD175" s="91"/>
      <c r="AE175" s="91"/>
    </row>
    <row r="176" spans="1:31" ht="30.75" customHeight="1" x14ac:dyDescent="0.25">
      <c r="A176" s="48" t="s">
        <v>18</v>
      </c>
      <c r="B176" s="48" t="s">
        <v>18</v>
      </c>
      <c r="C176" s="48" t="s">
        <v>24</v>
      </c>
      <c r="D176" s="48" t="s">
        <v>18</v>
      </c>
      <c r="E176" s="48" t="s">
        <v>21</v>
      </c>
      <c r="F176" s="48" t="s">
        <v>18</v>
      </c>
      <c r="G176" s="48" t="s">
        <v>22</v>
      </c>
      <c r="H176" s="48" t="s">
        <v>19</v>
      </c>
      <c r="I176" s="48" t="s">
        <v>24</v>
      </c>
      <c r="J176" s="48" t="s">
        <v>18</v>
      </c>
      <c r="K176" s="48" t="s">
        <v>18</v>
      </c>
      <c r="L176" s="48" t="s">
        <v>19</v>
      </c>
      <c r="M176" s="48" t="s">
        <v>42</v>
      </c>
      <c r="N176" s="48" t="s">
        <v>42</v>
      </c>
      <c r="O176" s="48" t="s">
        <v>42</v>
      </c>
      <c r="P176" s="48" t="s">
        <v>42</v>
      </c>
      <c r="Q176" s="48" t="s">
        <v>42</v>
      </c>
      <c r="R176" s="66" t="s">
        <v>297</v>
      </c>
      <c r="S176" s="49" t="s">
        <v>0</v>
      </c>
      <c r="T176" s="1">
        <v>0</v>
      </c>
      <c r="U176" s="1">
        <f t="shared" ref="U176" si="61">103354.8-103354.8</f>
        <v>0</v>
      </c>
      <c r="V176" s="1">
        <v>0</v>
      </c>
      <c r="W176" s="1">
        <f>1500-57.9-698.8-150</f>
        <v>593.29999999999995</v>
      </c>
      <c r="X176" s="1">
        <f>1500-417.3-15-567.7-264</f>
        <v>236</v>
      </c>
      <c r="Y176" s="1">
        <f>1500-1294.1</f>
        <v>205.90000000000009</v>
      </c>
      <c r="Z176" s="1">
        <v>750</v>
      </c>
      <c r="AA176" s="53">
        <f t="shared" si="58"/>
        <v>1785.2</v>
      </c>
      <c r="AB176" s="52">
        <v>2024</v>
      </c>
      <c r="AD176" s="91"/>
      <c r="AE176" s="91"/>
    </row>
    <row r="177" spans="1:31" ht="47.25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69" t="s">
        <v>312</v>
      </c>
      <c r="S177" s="37" t="s">
        <v>50</v>
      </c>
      <c r="T177" s="40">
        <v>0</v>
      </c>
      <c r="U177" s="40">
        <v>0</v>
      </c>
      <c r="V177" s="40">
        <v>0</v>
      </c>
      <c r="W177" s="3">
        <v>197.4</v>
      </c>
      <c r="X177" s="3">
        <v>173.4</v>
      </c>
      <c r="Y177" s="3">
        <v>147</v>
      </c>
      <c r="Z177" s="3">
        <v>102.2</v>
      </c>
      <c r="AA177" s="6">
        <f t="shared" si="58"/>
        <v>620</v>
      </c>
      <c r="AB177" s="37">
        <v>2024</v>
      </c>
      <c r="AD177" s="91"/>
      <c r="AE177" s="91"/>
    </row>
    <row r="178" spans="1:31" ht="31.5" customHeight="1" x14ac:dyDescent="0.25">
      <c r="A178" s="48" t="s">
        <v>18</v>
      </c>
      <c r="B178" s="48" t="s">
        <v>18</v>
      </c>
      <c r="C178" s="48" t="s">
        <v>21</v>
      </c>
      <c r="D178" s="48" t="s">
        <v>18</v>
      </c>
      <c r="E178" s="48" t="s">
        <v>21</v>
      </c>
      <c r="F178" s="48" t="s">
        <v>18</v>
      </c>
      <c r="G178" s="48" t="s">
        <v>22</v>
      </c>
      <c r="H178" s="48" t="s">
        <v>19</v>
      </c>
      <c r="I178" s="48" t="s">
        <v>24</v>
      </c>
      <c r="J178" s="48" t="s">
        <v>18</v>
      </c>
      <c r="K178" s="48" t="s">
        <v>18</v>
      </c>
      <c r="L178" s="48" t="s">
        <v>19</v>
      </c>
      <c r="M178" s="48" t="s">
        <v>42</v>
      </c>
      <c r="N178" s="48" t="s">
        <v>42</v>
      </c>
      <c r="O178" s="48" t="s">
        <v>42</v>
      </c>
      <c r="P178" s="48" t="s">
        <v>42</v>
      </c>
      <c r="Q178" s="48" t="s">
        <v>42</v>
      </c>
      <c r="R178" s="66" t="s">
        <v>297</v>
      </c>
      <c r="S178" s="49" t="s">
        <v>0</v>
      </c>
      <c r="T178" s="1">
        <v>0</v>
      </c>
      <c r="U178" s="1">
        <f t="shared" ref="U178" si="62">103354.8-103354.8</f>
        <v>0</v>
      </c>
      <c r="V178" s="1">
        <v>0</v>
      </c>
      <c r="W178" s="1">
        <f>2000-26.3-155-153-1074.6</f>
        <v>591.10000000000014</v>
      </c>
      <c r="X178" s="1">
        <f>2000-37-600-245-483.7</f>
        <v>634.29999999999995</v>
      </c>
      <c r="Y178" s="1">
        <f>2000-437.3-1037.2-186</f>
        <v>339.5</v>
      </c>
      <c r="Z178" s="1">
        <v>1000</v>
      </c>
      <c r="AA178" s="53">
        <f t="shared" si="58"/>
        <v>2564.9</v>
      </c>
      <c r="AB178" s="52">
        <v>2024</v>
      </c>
      <c r="AD178" s="91"/>
      <c r="AE178" s="91"/>
    </row>
    <row r="179" spans="1:31" ht="47.25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67" t="s">
        <v>313</v>
      </c>
      <c r="S179" s="37" t="s">
        <v>50</v>
      </c>
      <c r="T179" s="40">
        <v>0</v>
      </c>
      <c r="U179" s="40">
        <v>0</v>
      </c>
      <c r="V179" s="40">
        <v>0</v>
      </c>
      <c r="W179" s="3">
        <v>225</v>
      </c>
      <c r="X179" s="3">
        <v>266</v>
      </c>
      <c r="Y179" s="3">
        <v>229</v>
      </c>
      <c r="Z179" s="3">
        <v>102</v>
      </c>
      <c r="AA179" s="6">
        <f t="shared" si="58"/>
        <v>822</v>
      </c>
      <c r="AB179" s="37">
        <v>2024</v>
      </c>
      <c r="AD179" s="91"/>
      <c r="AE179" s="91"/>
    </row>
    <row r="180" spans="1:31" ht="31.5" x14ac:dyDescent="0.25">
      <c r="A180" s="48" t="s">
        <v>18</v>
      </c>
      <c r="B180" s="48" t="s">
        <v>18</v>
      </c>
      <c r="C180" s="48" t="s">
        <v>25</v>
      </c>
      <c r="D180" s="48" t="s">
        <v>18</v>
      </c>
      <c r="E180" s="48" t="s">
        <v>21</v>
      </c>
      <c r="F180" s="48" t="s">
        <v>18</v>
      </c>
      <c r="G180" s="48" t="s">
        <v>22</v>
      </c>
      <c r="H180" s="48" t="s">
        <v>19</v>
      </c>
      <c r="I180" s="48" t="s">
        <v>24</v>
      </c>
      <c r="J180" s="48" t="s">
        <v>18</v>
      </c>
      <c r="K180" s="48" t="s">
        <v>18</v>
      </c>
      <c r="L180" s="48" t="s">
        <v>19</v>
      </c>
      <c r="M180" s="48" t="s">
        <v>42</v>
      </c>
      <c r="N180" s="48" t="s">
        <v>42</v>
      </c>
      <c r="O180" s="48" t="s">
        <v>42</v>
      </c>
      <c r="P180" s="48" t="s">
        <v>42</v>
      </c>
      <c r="Q180" s="48" t="s">
        <v>42</v>
      </c>
      <c r="R180" s="66" t="s">
        <v>297</v>
      </c>
      <c r="S180" s="49" t="s">
        <v>0</v>
      </c>
      <c r="T180" s="1">
        <v>0</v>
      </c>
      <c r="U180" s="1">
        <f t="shared" ref="U180" si="63">103354.8-103354.8</f>
        <v>0</v>
      </c>
      <c r="V180" s="1">
        <v>0</v>
      </c>
      <c r="W180" s="1">
        <f>1500-817.5-30.4</f>
        <v>652.1</v>
      </c>
      <c r="X180" s="1">
        <f>1500-999.4-0.1</f>
        <v>500.5</v>
      </c>
      <c r="Y180" s="1">
        <f>1300-547-253</f>
        <v>500</v>
      </c>
      <c r="Z180" s="1">
        <v>1000</v>
      </c>
      <c r="AA180" s="53">
        <f t="shared" si="58"/>
        <v>2652.6</v>
      </c>
      <c r="AB180" s="52">
        <v>2024</v>
      </c>
      <c r="AD180" s="91"/>
      <c r="AE180" s="91"/>
    </row>
    <row r="181" spans="1:31" ht="47.25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67" t="s">
        <v>314</v>
      </c>
      <c r="S181" s="37" t="s">
        <v>50</v>
      </c>
      <c r="T181" s="40">
        <v>0</v>
      </c>
      <c r="U181" s="40">
        <v>0</v>
      </c>
      <c r="V181" s="40">
        <v>0</v>
      </c>
      <c r="W181" s="3">
        <v>238.8</v>
      </c>
      <c r="X181" s="3">
        <v>261.39999999999998</v>
      </c>
      <c r="Y181" s="3">
        <v>254.9</v>
      </c>
      <c r="Z181" s="3">
        <v>100</v>
      </c>
      <c r="AA181" s="6">
        <f t="shared" si="58"/>
        <v>855.1</v>
      </c>
      <c r="AB181" s="37">
        <v>2024</v>
      </c>
      <c r="AD181" s="91"/>
      <c r="AE181" s="91"/>
    </row>
    <row r="182" spans="1:31" ht="80.25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146" t="s">
        <v>322</v>
      </c>
      <c r="S182" s="49" t="s">
        <v>40</v>
      </c>
      <c r="T182" s="50">
        <v>0</v>
      </c>
      <c r="U182" s="50">
        <v>0</v>
      </c>
      <c r="V182" s="50">
        <v>0</v>
      </c>
      <c r="W182" s="50">
        <v>1</v>
      </c>
      <c r="X182" s="50">
        <v>1</v>
      </c>
      <c r="Y182" s="50">
        <v>1</v>
      </c>
      <c r="Z182" s="50">
        <v>1</v>
      </c>
      <c r="AA182" s="51">
        <v>1</v>
      </c>
      <c r="AB182" s="52">
        <v>2024</v>
      </c>
      <c r="AD182" s="91"/>
      <c r="AE182" s="91"/>
    </row>
    <row r="183" spans="1:31" ht="79.900000000000006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67" t="s">
        <v>323</v>
      </c>
      <c r="S183" s="55" t="s">
        <v>37</v>
      </c>
      <c r="T183" s="40">
        <v>0</v>
      </c>
      <c r="U183" s="40">
        <v>0</v>
      </c>
      <c r="V183" s="40">
        <v>0</v>
      </c>
      <c r="W183" s="40">
        <v>4</v>
      </c>
      <c r="X183" s="40">
        <v>4</v>
      </c>
      <c r="Y183" s="40">
        <v>4</v>
      </c>
      <c r="Z183" s="40">
        <v>4</v>
      </c>
      <c r="AA183" s="43">
        <f>SUM(T183:Z183)</f>
        <v>16</v>
      </c>
      <c r="AB183" s="37">
        <v>2024</v>
      </c>
      <c r="AD183" s="91"/>
      <c r="AE183" s="91"/>
    </row>
    <row r="184" spans="1:31" ht="62.25" customHeigh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146" t="s">
        <v>324</v>
      </c>
      <c r="S184" s="49" t="s">
        <v>40</v>
      </c>
      <c r="T184" s="50">
        <v>0</v>
      </c>
      <c r="U184" s="50">
        <v>0</v>
      </c>
      <c r="V184" s="50">
        <v>0</v>
      </c>
      <c r="W184" s="50">
        <v>1</v>
      </c>
      <c r="X184" s="50">
        <v>1</v>
      </c>
      <c r="Y184" s="50">
        <v>1</v>
      </c>
      <c r="Z184" s="50">
        <v>1</v>
      </c>
      <c r="AA184" s="51">
        <v>1</v>
      </c>
      <c r="AB184" s="52">
        <v>2024</v>
      </c>
      <c r="AD184" s="91"/>
      <c r="AE184" s="91"/>
    </row>
    <row r="185" spans="1:31" ht="63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67" t="s">
        <v>329</v>
      </c>
      <c r="S185" s="55" t="s">
        <v>37</v>
      </c>
      <c r="T185" s="40">
        <v>0</v>
      </c>
      <c r="U185" s="40">
        <v>0</v>
      </c>
      <c r="V185" s="40">
        <v>0</v>
      </c>
      <c r="W185" s="40">
        <v>12</v>
      </c>
      <c r="X185" s="40">
        <v>12</v>
      </c>
      <c r="Y185" s="40">
        <v>12</v>
      </c>
      <c r="Z185" s="40">
        <v>12</v>
      </c>
      <c r="AA185" s="43">
        <f>SUM(T185:Z185)</f>
        <v>48</v>
      </c>
      <c r="AB185" s="37">
        <v>2024</v>
      </c>
      <c r="AD185" s="91"/>
      <c r="AE185" s="91"/>
    </row>
    <row r="186" spans="1:31" ht="31.5" x14ac:dyDescent="0.25">
      <c r="A186" s="48" t="s">
        <v>18</v>
      </c>
      <c r="B186" s="48" t="s">
        <v>19</v>
      </c>
      <c r="C186" s="48" t="s">
        <v>24</v>
      </c>
      <c r="D186" s="48" t="s">
        <v>18</v>
      </c>
      <c r="E186" s="48" t="s">
        <v>21</v>
      </c>
      <c r="F186" s="48" t="s">
        <v>18</v>
      </c>
      <c r="G186" s="48" t="s">
        <v>22</v>
      </c>
      <c r="H186" s="48" t="s">
        <v>19</v>
      </c>
      <c r="I186" s="48" t="s">
        <v>24</v>
      </c>
      <c r="J186" s="48" t="s">
        <v>18</v>
      </c>
      <c r="K186" s="48" t="s">
        <v>18</v>
      </c>
      <c r="L186" s="48" t="s">
        <v>19</v>
      </c>
      <c r="M186" s="48" t="s">
        <v>42</v>
      </c>
      <c r="N186" s="48" t="s">
        <v>42</v>
      </c>
      <c r="O186" s="48" t="s">
        <v>42</v>
      </c>
      <c r="P186" s="48" t="s">
        <v>42</v>
      </c>
      <c r="Q186" s="48" t="s">
        <v>42</v>
      </c>
      <c r="R186" s="66" t="s">
        <v>342</v>
      </c>
      <c r="S186" s="82" t="s">
        <v>0</v>
      </c>
      <c r="T186" s="53">
        <v>0</v>
      </c>
      <c r="U186" s="53">
        <v>0</v>
      </c>
      <c r="V186" s="53">
        <v>0</v>
      </c>
      <c r="W186" s="53">
        <v>0</v>
      </c>
      <c r="X186" s="53">
        <v>0</v>
      </c>
      <c r="Y186" s="53">
        <v>500</v>
      </c>
      <c r="Z186" s="53">
        <v>0</v>
      </c>
      <c r="AA186" s="53">
        <f>SUM(T186:Z186)</f>
        <v>500</v>
      </c>
      <c r="AB186" s="52">
        <v>2023</v>
      </c>
      <c r="AD186" s="91"/>
      <c r="AE186" s="91"/>
    </row>
    <row r="187" spans="1:31" ht="31.5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69" t="s">
        <v>341</v>
      </c>
      <c r="S187" s="148" t="s">
        <v>48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2</v>
      </c>
      <c r="Z187" s="2">
        <v>0</v>
      </c>
      <c r="AA187" s="43">
        <v>2</v>
      </c>
      <c r="AB187" s="37">
        <v>2023</v>
      </c>
      <c r="AD187" s="91"/>
      <c r="AE187" s="91"/>
    </row>
    <row r="188" spans="1:31" s="45" customFormat="1" ht="31.5" x14ac:dyDescent="0.25">
      <c r="A188" s="42"/>
      <c r="B188" s="42"/>
      <c r="C188" s="42"/>
      <c r="D188" s="42"/>
      <c r="E188" s="42"/>
      <c r="F188" s="42"/>
      <c r="G188" s="42"/>
      <c r="H188" s="42" t="s">
        <v>19</v>
      </c>
      <c r="I188" s="42" t="s">
        <v>24</v>
      </c>
      <c r="J188" s="42" t="s">
        <v>18</v>
      </c>
      <c r="K188" s="42" t="s">
        <v>18</v>
      </c>
      <c r="L188" s="42" t="s">
        <v>20</v>
      </c>
      <c r="M188" s="42" t="s">
        <v>18</v>
      </c>
      <c r="N188" s="42" t="s">
        <v>18</v>
      </c>
      <c r="O188" s="42" t="s">
        <v>18</v>
      </c>
      <c r="P188" s="42" t="s">
        <v>18</v>
      </c>
      <c r="Q188" s="42" t="s">
        <v>18</v>
      </c>
      <c r="R188" s="64" t="s">
        <v>54</v>
      </c>
      <c r="S188" s="127" t="s">
        <v>0</v>
      </c>
      <c r="T188" s="126">
        <f>T211+T258+T197+T462</f>
        <v>147061.20000000001</v>
      </c>
      <c r="U188" s="126">
        <f>U211+U258+U197+U462</f>
        <v>108807.59999999998</v>
      </c>
      <c r="V188" s="126">
        <f>V211+V258+V197+V462</f>
        <v>7655.1</v>
      </c>
      <c r="W188" s="126">
        <f>W211+W258+W197+W462+W484</f>
        <v>33106.5</v>
      </c>
      <c r="X188" s="126">
        <f>X211+X258+X197+X462+X484</f>
        <v>55395.799999999996</v>
      </c>
      <c r="Y188" s="126">
        <f>Y211+Y258+Y197+Y462+Y484</f>
        <v>32076.6</v>
      </c>
      <c r="Z188" s="126">
        <f>Z211+Z258+Z197+Z462+Z484</f>
        <v>58916</v>
      </c>
      <c r="AA188" s="126">
        <f>SUM(T188:Z188)</f>
        <v>443018.79999999993</v>
      </c>
      <c r="AB188" s="127">
        <v>2024</v>
      </c>
      <c r="AC188" s="98"/>
      <c r="AD188" s="44"/>
    </row>
    <row r="189" spans="1:31" s="45" customFormat="1" ht="31.5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67" t="s">
        <v>225</v>
      </c>
      <c r="S189" s="37" t="s">
        <v>37</v>
      </c>
      <c r="T189" s="2">
        <f>T465+T216+T260</f>
        <v>58</v>
      </c>
      <c r="U189" s="40">
        <f>U465+U216+U260</f>
        <v>42</v>
      </c>
      <c r="V189" s="2">
        <f>V465+V216+V260</f>
        <v>7</v>
      </c>
      <c r="W189" s="2">
        <f>W465+W216+W260+W486</f>
        <v>17</v>
      </c>
      <c r="X189" s="2">
        <f>X465+X216+X260+X486</f>
        <v>14</v>
      </c>
      <c r="Y189" s="2">
        <f>Y465+Y216+Y260+Y486</f>
        <v>13</v>
      </c>
      <c r="Z189" s="2">
        <f>Z465+Z216+Z260+Z486</f>
        <v>18</v>
      </c>
      <c r="AA189" s="41">
        <f>SUM(T189:Z189)</f>
        <v>169</v>
      </c>
      <c r="AB189" s="37">
        <v>2024</v>
      </c>
      <c r="AC189" s="79"/>
      <c r="AD189" s="44"/>
    </row>
    <row r="190" spans="1:31" s="45" customFormat="1" ht="31.5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67" t="s">
        <v>226</v>
      </c>
      <c r="S190" s="37" t="s">
        <v>50</v>
      </c>
      <c r="T190" s="4">
        <f>T465+T214+T259</f>
        <v>63</v>
      </c>
      <c r="U190" s="4">
        <f>U466+U214+U259</f>
        <v>42.2</v>
      </c>
      <c r="V190" s="4">
        <f>V466+V214+V259</f>
        <v>1.7000000000000002</v>
      </c>
      <c r="W190" s="4">
        <f>W466+W214+W259+W485</f>
        <v>11</v>
      </c>
      <c r="X190" s="4">
        <f>X466+X214+X259+X485</f>
        <v>15.7</v>
      </c>
      <c r="Y190" s="4">
        <f>Y466+Y214+Y259+Y485</f>
        <v>8.6</v>
      </c>
      <c r="Z190" s="4">
        <f>Z466+Z214+Z259+Z485</f>
        <v>14.399999999999999</v>
      </c>
      <c r="AA190" s="5">
        <f>SUM(T190:Z190)</f>
        <v>156.6</v>
      </c>
      <c r="AB190" s="37">
        <v>2024</v>
      </c>
      <c r="AC190" s="98"/>
      <c r="AD190" s="44"/>
    </row>
    <row r="191" spans="1:31" s="8" customFormat="1" ht="47.25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69" t="s">
        <v>118</v>
      </c>
      <c r="S191" s="148" t="s">
        <v>9</v>
      </c>
      <c r="T191" s="3">
        <f>((4338+39.6)+63)/13987*100</f>
        <v>31.748051762350755</v>
      </c>
      <c r="U191" s="3">
        <f>((4338+39.6)+T190+U190)/13987*100</f>
        <v>32.049760491885323</v>
      </c>
      <c r="V191" s="3">
        <f>((4338+39.6)+U190+V190+T190)/13987*100</f>
        <v>32.061914635018226</v>
      </c>
      <c r="W191" s="3">
        <f>((4338+39.6)+T190+V190+W190+U190)/13987*100</f>
        <v>32.140559090584112</v>
      </c>
      <c r="X191" s="3">
        <f>((4338+39.6)+T190+U190+W190+X190+V190)/13987*100</f>
        <v>32.252806177164508</v>
      </c>
      <c r="Y191" s="3">
        <f>((4338+39.6)+T190+U190+V190+X190+Y190+W190)/13987*100</f>
        <v>32.314291842425106</v>
      </c>
      <c r="Z191" s="3">
        <f>((4338+39.6)+T190+U190+V190+W190+Y190+Z190+X190)/13987*100</f>
        <v>32.417244584256807</v>
      </c>
      <c r="AA191" s="5">
        <f>Z191</f>
        <v>32.417244584256807</v>
      </c>
      <c r="AB191" s="37">
        <v>2024</v>
      </c>
      <c r="AC191" s="90"/>
      <c r="AD191" s="54"/>
    </row>
    <row r="192" spans="1:31" ht="31.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80" t="s">
        <v>119</v>
      </c>
      <c r="S192" s="148" t="s">
        <v>9</v>
      </c>
      <c r="T192" s="3">
        <f>30/58*100</f>
        <v>51.724137931034484</v>
      </c>
      <c r="U192" s="3">
        <f>22/42*100</f>
        <v>52.380952380952387</v>
      </c>
      <c r="V192" s="3">
        <f>7/7*100</f>
        <v>100</v>
      </c>
      <c r="W192" s="3">
        <f>15/17*100</f>
        <v>88.235294117647058</v>
      </c>
      <c r="X192" s="4">
        <v>91</v>
      </c>
      <c r="Y192" s="4">
        <f>12/13*100</f>
        <v>92.307692307692307</v>
      </c>
      <c r="Z192" s="4">
        <v>91</v>
      </c>
      <c r="AA192" s="5">
        <v>91</v>
      </c>
      <c r="AB192" s="37">
        <v>2024</v>
      </c>
      <c r="AC192" s="98"/>
    </row>
    <row r="193" spans="1:31" ht="46.9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80" t="s">
        <v>345</v>
      </c>
      <c r="S193" s="148" t="s">
        <v>228</v>
      </c>
      <c r="T193" s="4">
        <v>0</v>
      </c>
      <c r="U193" s="4">
        <v>0</v>
      </c>
      <c r="V193" s="4">
        <v>0</v>
      </c>
      <c r="W193" s="4">
        <f>1.1*4*100%</f>
        <v>4.4000000000000004</v>
      </c>
      <c r="X193" s="4">
        <v>23.7</v>
      </c>
      <c r="Y193" s="4">
        <f>7*4*100%</f>
        <v>28</v>
      </c>
      <c r="Z193" s="4">
        <v>23.7</v>
      </c>
      <c r="AA193" s="5">
        <v>23.7</v>
      </c>
      <c r="AB193" s="37">
        <v>2024</v>
      </c>
      <c r="AC193" s="98"/>
    </row>
    <row r="194" spans="1:31" s="45" customFormat="1" ht="31.5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67" t="s">
        <v>120</v>
      </c>
      <c r="S194" s="37" t="s">
        <v>9</v>
      </c>
      <c r="T194" s="3">
        <f>27.6/336.9*100</f>
        <v>8.1923419412288521</v>
      </c>
      <c r="U194" s="3">
        <f>11.3/336.9*100</f>
        <v>3.3541110121697839</v>
      </c>
      <c r="V194" s="3">
        <f>2/336.9*100</f>
        <v>0.59364796675571385</v>
      </c>
      <c r="W194" s="3">
        <f>5.6/336.9*100</f>
        <v>1.6622143069159989</v>
      </c>
      <c r="X194" s="3">
        <v>43.1</v>
      </c>
      <c r="Y194" s="3">
        <f>7/336.9*100</f>
        <v>2.0777678836449986</v>
      </c>
      <c r="Z194" s="3">
        <v>43.1</v>
      </c>
      <c r="AA194" s="6">
        <v>43.1</v>
      </c>
      <c r="AB194" s="37">
        <v>2024</v>
      </c>
      <c r="AC194" s="98"/>
      <c r="AD194" s="44"/>
    </row>
    <row r="195" spans="1:31" s="45" customFormat="1" ht="47.25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146" t="s">
        <v>121</v>
      </c>
      <c r="S195" s="49" t="s">
        <v>40</v>
      </c>
      <c r="T195" s="50">
        <v>0</v>
      </c>
      <c r="U195" s="50">
        <v>0</v>
      </c>
      <c r="V195" s="50">
        <v>0</v>
      </c>
      <c r="W195" s="50">
        <v>1</v>
      </c>
      <c r="X195" s="50">
        <v>1</v>
      </c>
      <c r="Y195" s="50">
        <v>0</v>
      </c>
      <c r="Z195" s="50">
        <v>0</v>
      </c>
      <c r="AA195" s="51">
        <v>1</v>
      </c>
      <c r="AB195" s="52">
        <v>2022</v>
      </c>
      <c r="AC195" s="98"/>
      <c r="AD195" s="44"/>
    </row>
    <row r="196" spans="1:31" s="45" customFormat="1" ht="31.5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67" t="s">
        <v>70</v>
      </c>
      <c r="S196" s="37" t="s">
        <v>37</v>
      </c>
      <c r="T196" s="40">
        <v>0</v>
      </c>
      <c r="U196" s="40">
        <v>0</v>
      </c>
      <c r="V196" s="40">
        <f t="shared" ref="V196:Z196" si="64">V465</f>
        <v>0</v>
      </c>
      <c r="W196" s="40">
        <v>1</v>
      </c>
      <c r="X196" s="40">
        <v>2</v>
      </c>
      <c r="Y196" s="40">
        <f t="shared" si="64"/>
        <v>0</v>
      </c>
      <c r="Z196" s="40">
        <f t="shared" si="64"/>
        <v>0</v>
      </c>
      <c r="AA196" s="43">
        <f>SUM(T196:Z196)</f>
        <v>3</v>
      </c>
      <c r="AB196" s="37">
        <v>2022</v>
      </c>
      <c r="AC196" s="104"/>
      <c r="AD196" s="100"/>
      <c r="AE196" s="100"/>
    </row>
    <row r="197" spans="1:31" s="45" customFormat="1" ht="31.5" x14ac:dyDescent="0.25">
      <c r="A197" s="48"/>
      <c r="B197" s="48"/>
      <c r="C197" s="48"/>
      <c r="D197" s="48" t="s">
        <v>18</v>
      </c>
      <c r="E197" s="48" t="s">
        <v>21</v>
      </c>
      <c r="F197" s="48" t="s">
        <v>18</v>
      </c>
      <c r="G197" s="48" t="s">
        <v>22</v>
      </c>
      <c r="H197" s="48" t="s">
        <v>19</v>
      </c>
      <c r="I197" s="48" t="s">
        <v>24</v>
      </c>
      <c r="J197" s="48" t="s">
        <v>18</v>
      </c>
      <c r="K197" s="48" t="s">
        <v>18</v>
      </c>
      <c r="L197" s="48" t="s">
        <v>20</v>
      </c>
      <c r="M197" s="48" t="s">
        <v>42</v>
      </c>
      <c r="N197" s="48" t="s">
        <v>42</v>
      </c>
      <c r="O197" s="48" t="s">
        <v>42</v>
      </c>
      <c r="P197" s="48" t="s">
        <v>42</v>
      </c>
      <c r="Q197" s="48" t="s">
        <v>42</v>
      </c>
      <c r="R197" s="146" t="s">
        <v>231</v>
      </c>
      <c r="S197" s="52" t="s">
        <v>0</v>
      </c>
      <c r="T197" s="53">
        <f t="shared" ref="T197:Y197" si="65">T199+T201+T203+T205</f>
        <v>1307</v>
      </c>
      <c r="U197" s="53">
        <f t="shared" si="65"/>
        <v>0</v>
      </c>
      <c r="V197" s="53">
        <f t="shared" si="65"/>
        <v>0</v>
      </c>
      <c r="W197" s="53">
        <f t="shared" si="65"/>
        <v>0</v>
      </c>
      <c r="X197" s="53">
        <f t="shared" si="65"/>
        <v>0</v>
      </c>
      <c r="Y197" s="53">
        <f t="shared" si="65"/>
        <v>0</v>
      </c>
      <c r="Z197" s="53">
        <f t="shared" ref="Z197" si="66">Z199+Z201+Z203+Z205</f>
        <v>0</v>
      </c>
      <c r="AA197" s="53">
        <f>SUM(T197:Y197)</f>
        <v>1307</v>
      </c>
      <c r="AB197" s="52">
        <v>2018</v>
      </c>
      <c r="AC197" s="98"/>
      <c r="AD197" s="100"/>
      <c r="AE197" s="100"/>
    </row>
    <row r="198" spans="1:31" s="45" customFormat="1" ht="47.25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67" t="s">
        <v>244</v>
      </c>
      <c r="S198" s="46" t="s">
        <v>37</v>
      </c>
      <c r="T198" s="40">
        <f>T200+T202+T204+T206</f>
        <v>39</v>
      </c>
      <c r="U198" s="40">
        <f t="shared" ref="U198:Y198" si="67">U200+U202+U204+U206</f>
        <v>0</v>
      </c>
      <c r="V198" s="40">
        <f t="shared" si="67"/>
        <v>0</v>
      </c>
      <c r="W198" s="40">
        <f t="shared" si="67"/>
        <v>0</v>
      </c>
      <c r="X198" s="40">
        <f t="shared" si="67"/>
        <v>0</v>
      </c>
      <c r="Y198" s="40">
        <f t="shared" si="67"/>
        <v>0</v>
      </c>
      <c r="Z198" s="40">
        <f t="shared" ref="Z198" si="68">Z200+Z202+Z204+Z206</f>
        <v>0</v>
      </c>
      <c r="AA198" s="43">
        <f>T198</f>
        <v>39</v>
      </c>
      <c r="AB198" s="37">
        <v>2018</v>
      </c>
      <c r="AC198" s="98"/>
      <c r="AD198" s="100"/>
      <c r="AE198" s="100"/>
    </row>
    <row r="199" spans="1:31" s="45" customFormat="1" ht="30" customHeight="1" x14ac:dyDescent="0.25">
      <c r="A199" s="48" t="s">
        <v>18</v>
      </c>
      <c r="B199" s="48" t="s">
        <v>18</v>
      </c>
      <c r="C199" s="48" t="s">
        <v>22</v>
      </c>
      <c r="D199" s="48" t="s">
        <v>18</v>
      </c>
      <c r="E199" s="48" t="s">
        <v>21</v>
      </c>
      <c r="F199" s="48" t="s">
        <v>18</v>
      </c>
      <c r="G199" s="48" t="s">
        <v>22</v>
      </c>
      <c r="H199" s="48" t="s">
        <v>19</v>
      </c>
      <c r="I199" s="48" t="s">
        <v>24</v>
      </c>
      <c r="J199" s="48" t="s">
        <v>18</v>
      </c>
      <c r="K199" s="48" t="s">
        <v>18</v>
      </c>
      <c r="L199" s="48" t="s">
        <v>20</v>
      </c>
      <c r="M199" s="48" t="s">
        <v>42</v>
      </c>
      <c r="N199" s="48" t="s">
        <v>42</v>
      </c>
      <c r="O199" s="48" t="s">
        <v>42</v>
      </c>
      <c r="P199" s="48" t="s">
        <v>42</v>
      </c>
      <c r="Q199" s="48" t="s">
        <v>42</v>
      </c>
      <c r="R199" s="146" t="s">
        <v>231</v>
      </c>
      <c r="S199" s="49" t="s">
        <v>0</v>
      </c>
      <c r="T199" s="1">
        <v>474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53">
        <f>SUM(T199:Y199)</f>
        <v>474</v>
      </c>
      <c r="AB199" s="52">
        <v>2018</v>
      </c>
      <c r="AC199" s="108"/>
      <c r="AD199" s="101"/>
      <c r="AE199" s="101"/>
    </row>
    <row r="200" spans="1:31" s="45" customFormat="1" ht="47.2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149" t="s">
        <v>245</v>
      </c>
      <c r="S200" s="46" t="s">
        <v>37</v>
      </c>
      <c r="T200" s="40">
        <v>15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3">
        <f>T200+U200+V200+W200+X200</f>
        <v>15</v>
      </c>
      <c r="AB200" s="37">
        <v>2018</v>
      </c>
      <c r="AC200" s="98"/>
      <c r="AD200" s="44"/>
    </row>
    <row r="201" spans="1:31" s="123" customFormat="1" ht="31.5" x14ac:dyDescent="0.25">
      <c r="A201" s="48" t="s">
        <v>18</v>
      </c>
      <c r="B201" s="48" t="s">
        <v>18</v>
      </c>
      <c r="C201" s="48" t="s">
        <v>24</v>
      </c>
      <c r="D201" s="48" t="s">
        <v>18</v>
      </c>
      <c r="E201" s="48" t="s">
        <v>21</v>
      </c>
      <c r="F201" s="48" t="s">
        <v>18</v>
      </c>
      <c r="G201" s="48" t="s">
        <v>22</v>
      </c>
      <c r="H201" s="48" t="s">
        <v>19</v>
      </c>
      <c r="I201" s="48" t="s">
        <v>24</v>
      </c>
      <c r="J201" s="48" t="s">
        <v>18</v>
      </c>
      <c r="K201" s="48" t="s">
        <v>18</v>
      </c>
      <c r="L201" s="48" t="s">
        <v>20</v>
      </c>
      <c r="M201" s="48" t="s">
        <v>42</v>
      </c>
      <c r="N201" s="48" t="s">
        <v>42</v>
      </c>
      <c r="O201" s="48" t="s">
        <v>42</v>
      </c>
      <c r="P201" s="48" t="s">
        <v>42</v>
      </c>
      <c r="Q201" s="48" t="s">
        <v>42</v>
      </c>
      <c r="R201" s="146" t="s">
        <v>231</v>
      </c>
      <c r="S201" s="49" t="s">
        <v>0</v>
      </c>
      <c r="T201" s="1">
        <f>0+126+400-100</f>
        <v>426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53">
        <f t="shared" ref="AA201:AA206" si="69">SUM(T201:Y201)</f>
        <v>426</v>
      </c>
      <c r="AB201" s="52">
        <v>2018</v>
      </c>
      <c r="AC201" s="121"/>
      <c r="AD201" s="122"/>
      <c r="AE201" s="122"/>
    </row>
    <row r="202" spans="1:31" s="45" customFormat="1" ht="48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67" t="s">
        <v>246</v>
      </c>
      <c r="S202" s="46" t="s">
        <v>37</v>
      </c>
      <c r="T202" s="40">
        <v>4</v>
      </c>
      <c r="U202" s="40">
        <v>0</v>
      </c>
      <c r="V202" s="40">
        <v>0</v>
      </c>
      <c r="W202" s="40">
        <v>0</v>
      </c>
      <c r="X202" s="40">
        <v>0</v>
      </c>
      <c r="Y202" s="40">
        <v>0</v>
      </c>
      <c r="Z202" s="40">
        <v>0</v>
      </c>
      <c r="AA202" s="43">
        <f t="shared" si="69"/>
        <v>4</v>
      </c>
      <c r="AB202" s="37">
        <v>2018</v>
      </c>
      <c r="AC202" s="99"/>
      <c r="AD202" s="100"/>
    </row>
    <row r="203" spans="1:31" s="45" customFormat="1" ht="31.5" x14ac:dyDescent="0.25">
      <c r="A203" s="48" t="s">
        <v>18</v>
      </c>
      <c r="B203" s="48" t="s">
        <v>18</v>
      </c>
      <c r="C203" s="48" t="s">
        <v>21</v>
      </c>
      <c r="D203" s="48" t="s">
        <v>18</v>
      </c>
      <c r="E203" s="48" t="s">
        <v>21</v>
      </c>
      <c r="F203" s="48" t="s">
        <v>18</v>
      </c>
      <c r="G203" s="48" t="s">
        <v>22</v>
      </c>
      <c r="H203" s="48" t="s">
        <v>19</v>
      </c>
      <c r="I203" s="48" t="s">
        <v>24</v>
      </c>
      <c r="J203" s="48" t="s">
        <v>18</v>
      </c>
      <c r="K203" s="48" t="s">
        <v>18</v>
      </c>
      <c r="L203" s="48" t="s">
        <v>20</v>
      </c>
      <c r="M203" s="48" t="s">
        <v>42</v>
      </c>
      <c r="N203" s="48" t="s">
        <v>42</v>
      </c>
      <c r="O203" s="48" t="s">
        <v>42</v>
      </c>
      <c r="P203" s="48" t="s">
        <v>42</v>
      </c>
      <c r="Q203" s="48" t="s">
        <v>42</v>
      </c>
      <c r="R203" s="146" t="s">
        <v>231</v>
      </c>
      <c r="S203" s="49" t="s">
        <v>0</v>
      </c>
      <c r="T203" s="1">
        <v>250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53">
        <f t="shared" si="69"/>
        <v>250</v>
      </c>
      <c r="AB203" s="52">
        <v>2018</v>
      </c>
      <c r="AC203" s="31"/>
      <c r="AD203" s="100"/>
      <c r="AE203" s="100"/>
    </row>
    <row r="204" spans="1:31" s="45" customFormat="1" ht="47.2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67" t="s">
        <v>247</v>
      </c>
      <c r="S204" s="46" t="s">
        <v>37</v>
      </c>
      <c r="T204" s="40">
        <v>16</v>
      </c>
      <c r="U204" s="40">
        <v>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3">
        <f t="shared" si="69"/>
        <v>16</v>
      </c>
      <c r="AB204" s="37">
        <v>2018</v>
      </c>
      <c r="AC204" s="98"/>
      <c r="AD204" s="44"/>
    </row>
    <row r="205" spans="1:31" s="45" customFormat="1" ht="31.5" x14ac:dyDescent="0.25">
      <c r="A205" s="48" t="s">
        <v>18</v>
      </c>
      <c r="B205" s="48" t="s">
        <v>18</v>
      </c>
      <c r="C205" s="48" t="s">
        <v>25</v>
      </c>
      <c r="D205" s="48" t="s">
        <v>18</v>
      </c>
      <c r="E205" s="48" t="s">
        <v>21</v>
      </c>
      <c r="F205" s="48" t="s">
        <v>18</v>
      </c>
      <c r="G205" s="48" t="s">
        <v>22</v>
      </c>
      <c r="H205" s="48" t="s">
        <v>19</v>
      </c>
      <c r="I205" s="48" t="s">
        <v>24</v>
      </c>
      <c r="J205" s="48" t="s">
        <v>18</v>
      </c>
      <c r="K205" s="48" t="s">
        <v>18</v>
      </c>
      <c r="L205" s="48" t="s">
        <v>20</v>
      </c>
      <c r="M205" s="48" t="s">
        <v>42</v>
      </c>
      <c r="N205" s="48" t="s">
        <v>42</v>
      </c>
      <c r="O205" s="48" t="s">
        <v>42</v>
      </c>
      <c r="P205" s="48" t="s">
        <v>42</v>
      </c>
      <c r="Q205" s="48" t="s">
        <v>42</v>
      </c>
      <c r="R205" s="146" t="s">
        <v>231</v>
      </c>
      <c r="S205" s="49" t="s">
        <v>0</v>
      </c>
      <c r="T205" s="1">
        <f>480-430+100+55-48</f>
        <v>157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53">
        <f t="shared" si="69"/>
        <v>157</v>
      </c>
      <c r="AB205" s="52">
        <v>2018</v>
      </c>
      <c r="AC205" s="31"/>
      <c r="AD205" s="100"/>
      <c r="AE205" s="100"/>
    </row>
    <row r="206" spans="1:31" s="45" customFormat="1" ht="46.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67" t="s">
        <v>248</v>
      </c>
      <c r="S206" s="46" t="s">
        <v>37</v>
      </c>
      <c r="T206" s="40">
        <v>4</v>
      </c>
      <c r="U206" s="40">
        <v>0</v>
      </c>
      <c r="V206" s="40">
        <v>0</v>
      </c>
      <c r="W206" s="40">
        <v>0</v>
      </c>
      <c r="X206" s="40">
        <v>0</v>
      </c>
      <c r="Y206" s="40">
        <v>0</v>
      </c>
      <c r="Z206" s="40">
        <v>0</v>
      </c>
      <c r="AA206" s="43">
        <f t="shared" si="69"/>
        <v>4</v>
      </c>
      <c r="AB206" s="37">
        <v>2018</v>
      </c>
      <c r="AC206" s="98"/>
      <c r="AD206" s="44"/>
    </row>
    <row r="207" spans="1:31" s="45" customFormat="1" ht="47.25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146" t="s">
        <v>124</v>
      </c>
      <c r="S207" s="49" t="s">
        <v>40</v>
      </c>
      <c r="T207" s="50">
        <v>0</v>
      </c>
      <c r="U207" s="50">
        <v>0</v>
      </c>
      <c r="V207" s="50">
        <v>0</v>
      </c>
      <c r="W207" s="50">
        <v>0</v>
      </c>
      <c r="X207" s="50">
        <v>1</v>
      </c>
      <c r="Y207" s="50">
        <v>0</v>
      </c>
      <c r="Z207" s="50">
        <v>0</v>
      </c>
      <c r="AA207" s="51">
        <v>1</v>
      </c>
      <c r="AB207" s="52">
        <v>2022</v>
      </c>
      <c r="AC207" s="98"/>
      <c r="AD207" s="44"/>
    </row>
    <row r="208" spans="1:31" ht="31.1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67" t="s">
        <v>75</v>
      </c>
      <c r="S208" s="37" t="s">
        <v>37</v>
      </c>
      <c r="T208" s="2">
        <v>0</v>
      </c>
      <c r="U208" s="2">
        <v>0</v>
      </c>
      <c r="V208" s="2">
        <v>0</v>
      </c>
      <c r="W208" s="40">
        <v>0</v>
      </c>
      <c r="X208" s="2">
        <v>1</v>
      </c>
      <c r="Y208" s="2">
        <v>0</v>
      </c>
      <c r="Z208" s="2">
        <v>0</v>
      </c>
      <c r="AA208" s="43">
        <f>SUM(T208:Z208)</f>
        <v>1</v>
      </c>
      <c r="AB208" s="37">
        <v>2022</v>
      </c>
      <c r="AD208" s="91"/>
      <c r="AE208" s="91"/>
    </row>
    <row r="209" spans="1:31" ht="31.9" customHeight="1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146" t="s">
        <v>125</v>
      </c>
      <c r="S209" s="49" t="s">
        <v>40</v>
      </c>
      <c r="T209" s="50">
        <v>0</v>
      </c>
      <c r="U209" s="50">
        <v>0</v>
      </c>
      <c r="V209" s="50">
        <v>0</v>
      </c>
      <c r="W209" s="50">
        <v>1</v>
      </c>
      <c r="X209" s="50">
        <v>1</v>
      </c>
      <c r="Y209" s="50">
        <v>0</v>
      </c>
      <c r="Z209" s="50">
        <v>0</v>
      </c>
      <c r="AA209" s="51">
        <v>1</v>
      </c>
      <c r="AB209" s="52">
        <v>2022</v>
      </c>
      <c r="AD209" s="91"/>
      <c r="AE209" s="91"/>
    </row>
    <row r="210" spans="1:31" s="65" customFormat="1" ht="31.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67" t="s">
        <v>126</v>
      </c>
      <c r="S210" s="55" t="s">
        <v>37</v>
      </c>
      <c r="T210" s="2">
        <v>0</v>
      </c>
      <c r="U210" s="2">
        <v>0</v>
      </c>
      <c r="V210" s="2">
        <v>0</v>
      </c>
      <c r="W210" s="2">
        <v>2</v>
      </c>
      <c r="X210" s="2">
        <v>1</v>
      </c>
      <c r="Y210" s="2">
        <v>0</v>
      </c>
      <c r="Z210" s="2">
        <v>0</v>
      </c>
      <c r="AA210" s="41">
        <f>SUM(T210:Z210)</f>
        <v>3</v>
      </c>
      <c r="AB210" s="37">
        <v>2022</v>
      </c>
      <c r="AC210" s="90"/>
    </row>
    <row r="211" spans="1:31" s="65" customFormat="1" ht="46.5" customHeight="1" x14ac:dyDescent="0.25">
      <c r="A211" s="48"/>
      <c r="B211" s="48"/>
      <c r="C211" s="48"/>
      <c r="D211" s="48" t="s">
        <v>18</v>
      </c>
      <c r="E211" s="48" t="s">
        <v>24</v>
      </c>
      <c r="F211" s="48" t="s">
        <v>18</v>
      </c>
      <c r="G211" s="48" t="s">
        <v>42</v>
      </c>
      <c r="H211" s="48" t="s">
        <v>19</v>
      </c>
      <c r="I211" s="48" t="s">
        <v>24</v>
      </c>
      <c r="J211" s="48" t="s">
        <v>18</v>
      </c>
      <c r="K211" s="48" t="s">
        <v>18</v>
      </c>
      <c r="L211" s="48" t="s">
        <v>20</v>
      </c>
      <c r="M211" s="48" t="s">
        <v>18</v>
      </c>
      <c r="N211" s="48" t="s">
        <v>18</v>
      </c>
      <c r="O211" s="48" t="s">
        <v>18</v>
      </c>
      <c r="P211" s="48" t="s">
        <v>18</v>
      </c>
      <c r="Q211" s="48" t="s">
        <v>18</v>
      </c>
      <c r="R211" s="156" t="s">
        <v>127</v>
      </c>
      <c r="S211" s="52" t="s">
        <v>0</v>
      </c>
      <c r="T211" s="53">
        <f t="shared" ref="T211:Z211" si="70">T218+T226+T234+T242+T250</f>
        <v>123487.5</v>
      </c>
      <c r="U211" s="53">
        <f t="shared" si="70"/>
        <v>86341.199999999983</v>
      </c>
      <c r="V211" s="53">
        <f t="shared" si="70"/>
        <v>569.79999999999995</v>
      </c>
      <c r="W211" s="53">
        <f t="shared" si="70"/>
        <v>112.2</v>
      </c>
      <c r="X211" s="53">
        <f>X218+X226+X234+X242+X250</f>
        <v>33356</v>
      </c>
      <c r="Y211" s="53">
        <f t="shared" si="70"/>
        <v>3820.5</v>
      </c>
      <c r="Z211" s="53">
        <f t="shared" si="70"/>
        <v>0</v>
      </c>
      <c r="AA211" s="53">
        <f>SUM(T211:Z211)</f>
        <v>247687.19999999998</v>
      </c>
      <c r="AB211" s="52">
        <v>2023</v>
      </c>
      <c r="AC211" s="95"/>
    </row>
    <row r="212" spans="1:31" s="65" customFormat="1" ht="19.899999999999999" hidden="1" customHeight="1" x14ac:dyDescent="0.25">
      <c r="A212" s="48"/>
      <c r="B212" s="48"/>
      <c r="C212" s="48"/>
      <c r="D212" s="48" t="s">
        <v>18</v>
      </c>
      <c r="E212" s="48" t="s">
        <v>24</v>
      </c>
      <c r="F212" s="48" t="s">
        <v>18</v>
      </c>
      <c r="G212" s="48" t="s">
        <v>42</v>
      </c>
      <c r="H212" s="48" t="s">
        <v>19</v>
      </c>
      <c r="I212" s="48" t="s">
        <v>24</v>
      </c>
      <c r="J212" s="48" t="s">
        <v>18</v>
      </c>
      <c r="K212" s="48" t="s">
        <v>18</v>
      </c>
      <c r="L212" s="48" t="s">
        <v>20</v>
      </c>
      <c r="M212" s="48" t="s">
        <v>36</v>
      </c>
      <c r="N212" s="48" t="s">
        <v>18</v>
      </c>
      <c r="O212" s="48" t="s">
        <v>20</v>
      </c>
      <c r="P212" s="48" t="s">
        <v>19</v>
      </c>
      <c r="Q212" s="48" t="s">
        <v>38</v>
      </c>
      <c r="R212" s="156"/>
      <c r="S212" s="49" t="s">
        <v>0</v>
      </c>
      <c r="T212" s="1">
        <f t="shared" ref="T212:Z212" si="71">T220+T228+T236+T244</f>
        <v>0</v>
      </c>
      <c r="U212" s="1">
        <f t="shared" si="71"/>
        <v>18179.999999999996</v>
      </c>
      <c r="V212" s="1">
        <f t="shared" si="71"/>
        <v>0</v>
      </c>
      <c r="W212" s="1">
        <f t="shared" si="71"/>
        <v>0</v>
      </c>
      <c r="X212" s="1">
        <f t="shared" si="71"/>
        <v>5201.7</v>
      </c>
      <c r="Y212" s="1">
        <f t="shared" si="71"/>
        <v>370.4</v>
      </c>
      <c r="Z212" s="1">
        <f t="shared" si="71"/>
        <v>0</v>
      </c>
      <c r="AA212" s="53">
        <f>T212+U212+V212+W212+X212+Y212</f>
        <v>23752.1</v>
      </c>
      <c r="AB212" s="52">
        <v>2023</v>
      </c>
      <c r="AC212" s="90"/>
    </row>
    <row r="213" spans="1:31" s="65" customFormat="1" ht="19.899999999999999" hidden="1" customHeight="1" x14ac:dyDescent="0.25">
      <c r="A213" s="48"/>
      <c r="B213" s="48"/>
      <c r="C213" s="48"/>
      <c r="D213" s="48" t="s">
        <v>18</v>
      </c>
      <c r="E213" s="48" t="s">
        <v>24</v>
      </c>
      <c r="F213" s="48" t="s">
        <v>18</v>
      </c>
      <c r="G213" s="48" t="s">
        <v>42</v>
      </c>
      <c r="H213" s="48" t="s">
        <v>19</v>
      </c>
      <c r="I213" s="48" t="s">
        <v>24</v>
      </c>
      <c r="J213" s="48" t="s">
        <v>18</v>
      </c>
      <c r="K213" s="48" t="s">
        <v>18</v>
      </c>
      <c r="L213" s="48" t="s">
        <v>20</v>
      </c>
      <c r="M213" s="48" t="s">
        <v>18</v>
      </c>
      <c r="N213" s="48" t="s">
        <v>18</v>
      </c>
      <c r="O213" s="48" t="s">
        <v>18</v>
      </c>
      <c r="P213" s="48" t="s">
        <v>18</v>
      </c>
      <c r="Q213" s="48" t="s">
        <v>18</v>
      </c>
      <c r="R213" s="156"/>
      <c r="S213" s="49" t="s">
        <v>0</v>
      </c>
      <c r="T213" s="1">
        <f t="shared" ref="T213:Z213" si="72">T222+T230+T238+T246</f>
        <v>0</v>
      </c>
      <c r="U213" s="1">
        <f t="shared" si="72"/>
        <v>896.59999999999991</v>
      </c>
      <c r="V213" s="1">
        <f t="shared" si="72"/>
        <v>569.79999999999995</v>
      </c>
      <c r="W213" s="1">
        <f t="shared" si="72"/>
        <v>112.2</v>
      </c>
      <c r="X213" s="1">
        <f t="shared" si="72"/>
        <v>2976.1</v>
      </c>
      <c r="Y213" s="1">
        <f t="shared" si="72"/>
        <v>0</v>
      </c>
      <c r="Z213" s="1">
        <f t="shared" si="72"/>
        <v>0</v>
      </c>
      <c r="AA213" s="53">
        <f>T213+U213+V213+W213+X213+Y213</f>
        <v>4554.7</v>
      </c>
      <c r="AB213" s="52">
        <v>2023</v>
      </c>
      <c r="AC213" s="90"/>
    </row>
    <row r="214" spans="1:31" s="65" customFormat="1" ht="63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67" t="s">
        <v>173</v>
      </c>
      <c r="S214" s="55" t="s">
        <v>50</v>
      </c>
      <c r="T214" s="3">
        <f>T254</f>
        <v>58.6</v>
      </c>
      <c r="U214" s="3">
        <f t="shared" ref="U214:Z214" si="73">U254+U247+U239+U231+U223</f>
        <v>38.200000000000003</v>
      </c>
      <c r="V214" s="3">
        <f t="shared" si="73"/>
        <v>0</v>
      </c>
      <c r="W214" s="3">
        <f t="shared" si="73"/>
        <v>0</v>
      </c>
      <c r="X214" s="3">
        <f>X254+X247+X239+X231+X223</f>
        <v>9.3000000000000007</v>
      </c>
      <c r="Y214" s="3">
        <f t="shared" si="73"/>
        <v>1.2</v>
      </c>
      <c r="Z214" s="3">
        <f t="shared" si="73"/>
        <v>0</v>
      </c>
      <c r="AA214" s="6">
        <f>SUM(T214:Z214)</f>
        <v>107.30000000000001</v>
      </c>
      <c r="AB214" s="37">
        <v>2023</v>
      </c>
      <c r="AC214" s="90"/>
    </row>
    <row r="215" spans="1:31" s="65" customFormat="1" ht="31.15" hidden="1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68" t="s">
        <v>49</v>
      </c>
      <c r="S215" s="55"/>
      <c r="T215" s="3">
        <f>T255</f>
        <v>28</v>
      </c>
      <c r="U215" s="3"/>
      <c r="V215" s="3"/>
      <c r="W215" s="3"/>
      <c r="X215" s="3"/>
      <c r="Y215" s="3"/>
      <c r="Z215" s="3"/>
      <c r="AA215" s="6"/>
      <c r="AB215" s="37">
        <v>2020</v>
      </c>
      <c r="AC215" s="90"/>
    </row>
    <row r="216" spans="1:31" s="65" customFormat="1" ht="31.5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69" t="s">
        <v>174</v>
      </c>
      <c r="S216" s="55" t="s">
        <v>37</v>
      </c>
      <c r="T216" s="40">
        <f>T255</f>
        <v>28</v>
      </c>
      <c r="U216" s="40">
        <f>U224+U232+U240+U248+U255</f>
        <v>20</v>
      </c>
      <c r="V216" s="40">
        <f>V224+V232+V240+V248</f>
        <v>0</v>
      </c>
      <c r="W216" s="40">
        <f>W224+W232+W240+W248</f>
        <v>0</v>
      </c>
      <c r="X216" s="40">
        <f>X224+X232+X240+X248</f>
        <v>7</v>
      </c>
      <c r="Y216" s="40">
        <f>Y224+Y232+Y240+Y248</f>
        <v>1</v>
      </c>
      <c r="Z216" s="40">
        <f>Z224+Z232+Z240+Z248</f>
        <v>0</v>
      </c>
      <c r="AA216" s="43">
        <f>SUM(T216:Z216)</f>
        <v>56</v>
      </c>
      <c r="AB216" s="37">
        <v>2023</v>
      </c>
      <c r="AC216" s="90"/>
      <c r="AD216" s="70"/>
    </row>
    <row r="217" spans="1:31" s="120" customFormat="1" ht="47.25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67" t="s">
        <v>309</v>
      </c>
      <c r="S217" s="46" t="s">
        <v>37</v>
      </c>
      <c r="T217" s="40">
        <v>0</v>
      </c>
      <c r="U217" s="40">
        <f>U225+U233+U241+U249</f>
        <v>20</v>
      </c>
      <c r="V217" s="40">
        <f>V225+V233+V241+V249</f>
        <v>14</v>
      </c>
      <c r="W217" s="40">
        <f>W225+W233+W241+W249</f>
        <v>2</v>
      </c>
      <c r="X217" s="40">
        <f>X225+X233+X241+X249</f>
        <v>7</v>
      </c>
      <c r="Y217" s="40">
        <v>0</v>
      </c>
      <c r="Z217" s="40">
        <v>0</v>
      </c>
      <c r="AA217" s="43">
        <f>SUM(T217:Z217)</f>
        <v>43</v>
      </c>
      <c r="AB217" s="37">
        <v>2022</v>
      </c>
      <c r="AC217" s="98"/>
      <c r="AD217" s="119"/>
    </row>
    <row r="218" spans="1:31" s="65" customFormat="1" x14ac:dyDescent="0.25">
      <c r="A218" s="48" t="s">
        <v>18</v>
      </c>
      <c r="B218" s="48" t="s">
        <v>18</v>
      </c>
      <c r="C218" s="48" t="s">
        <v>22</v>
      </c>
      <c r="D218" s="48" t="s">
        <v>18</v>
      </c>
      <c r="E218" s="48" t="s">
        <v>24</v>
      </c>
      <c r="F218" s="48" t="s">
        <v>18</v>
      </c>
      <c r="G218" s="48" t="s">
        <v>42</v>
      </c>
      <c r="H218" s="48" t="s">
        <v>19</v>
      </c>
      <c r="I218" s="48" t="s">
        <v>24</v>
      </c>
      <c r="J218" s="48" t="s">
        <v>18</v>
      </c>
      <c r="K218" s="48" t="s">
        <v>18</v>
      </c>
      <c r="L218" s="48" t="s">
        <v>20</v>
      </c>
      <c r="M218" s="48" t="s">
        <v>18</v>
      </c>
      <c r="N218" s="48" t="s">
        <v>18</v>
      </c>
      <c r="O218" s="48" t="s">
        <v>18</v>
      </c>
      <c r="P218" s="48" t="s">
        <v>18</v>
      </c>
      <c r="Q218" s="48" t="s">
        <v>18</v>
      </c>
      <c r="R218" s="156" t="s">
        <v>127</v>
      </c>
      <c r="S218" s="157" t="s">
        <v>0</v>
      </c>
      <c r="T218" s="53">
        <f>SUM(T220:T222)</f>
        <v>0</v>
      </c>
      <c r="U218" s="53">
        <f>SUM(U219:U222)</f>
        <v>26850.299999999996</v>
      </c>
      <c r="V218" s="53">
        <f t="shared" ref="V218:Z218" si="74">SUM(V219:V222)</f>
        <v>48.800000000000011</v>
      </c>
      <c r="W218" s="53">
        <f t="shared" si="74"/>
        <v>112.2</v>
      </c>
      <c r="X218" s="53">
        <f t="shared" si="74"/>
        <v>9283.2000000000007</v>
      </c>
      <c r="Y218" s="53">
        <f t="shared" si="74"/>
        <v>3820.5</v>
      </c>
      <c r="Z218" s="53">
        <f t="shared" si="74"/>
        <v>0</v>
      </c>
      <c r="AA218" s="53">
        <f>SUM(T218:Z218)</f>
        <v>40115</v>
      </c>
      <c r="AB218" s="52">
        <v>2023</v>
      </c>
      <c r="AC218" s="90"/>
      <c r="AD218" s="70"/>
    </row>
    <row r="219" spans="1:31" s="65" customFormat="1" x14ac:dyDescent="0.25">
      <c r="A219" s="48" t="s">
        <v>18</v>
      </c>
      <c r="B219" s="48" t="s">
        <v>18</v>
      </c>
      <c r="C219" s="48" t="s">
        <v>22</v>
      </c>
      <c r="D219" s="48" t="s">
        <v>18</v>
      </c>
      <c r="E219" s="48" t="s">
        <v>24</v>
      </c>
      <c r="F219" s="48" t="s">
        <v>18</v>
      </c>
      <c r="G219" s="48" t="s">
        <v>42</v>
      </c>
      <c r="H219" s="48" t="s">
        <v>19</v>
      </c>
      <c r="I219" s="48" t="s">
        <v>24</v>
      </c>
      <c r="J219" s="48" t="s">
        <v>18</v>
      </c>
      <c r="K219" s="48" t="s">
        <v>18</v>
      </c>
      <c r="L219" s="48" t="s">
        <v>20</v>
      </c>
      <c r="M219" s="48" t="s">
        <v>19</v>
      </c>
      <c r="N219" s="48" t="s">
        <v>18</v>
      </c>
      <c r="O219" s="48" t="s">
        <v>165</v>
      </c>
      <c r="P219" s="48" t="s">
        <v>21</v>
      </c>
      <c r="Q219" s="48" t="s">
        <v>25</v>
      </c>
      <c r="R219" s="156"/>
      <c r="S219" s="158"/>
      <c r="T219" s="1">
        <v>0</v>
      </c>
      <c r="U219" s="1">
        <f>16800.1+4329.1</f>
        <v>21129.199999999997</v>
      </c>
      <c r="V219" s="1">
        <v>0</v>
      </c>
      <c r="W219" s="1">
        <v>0</v>
      </c>
      <c r="X219" s="1">
        <f>5758.9-57.6</f>
        <v>5701.2999999999993</v>
      </c>
      <c r="Y219" s="1">
        <f>0+4916.2-1583.1</f>
        <v>3333.1</v>
      </c>
      <c r="Z219" s="1">
        <v>0</v>
      </c>
      <c r="AA219" s="53">
        <f t="shared" ref="AA219" si="75">SUM(T219:Z219)</f>
        <v>30163.599999999995</v>
      </c>
      <c r="AB219" s="52">
        <v>2023</v>
      </c>
      <c r="AC219" s="90"/>
      <c r="AD219" s="70"/>
    </row>
    <row r="220" spans="1:31" s="65" customFormat="1" x14ac:dyDescent="0.25">
      <c r="A220" s="48" t="s">
        <v>18</v>
      </c>
      <c r="B220" s="48" t="s">
        <v>18</v>
      </c>
      <c r="C220" s="48" t="s">
        <v>22</v>
      </c>
      <c r="D220" s="48" t="s">
        <v>18</v>
      </c>
      <c r="E220" s="48" t="s">
        <v>24</v>
      </c>
      <c r="F220" s="48" t="s">
        <v>18</v>
      </c>
      <c r="G220" s="48" t="s">
        <v>42</v>
      </c>
      <c r="H220" s="48" t="s">
        <v>19</v>
      </c>
      <c r="I220" s="48" t="s">
        <v>24</v>
      </c>
      <c r="J220" s="48" t="s">
        <v>18</v>
      </c>
      <c r="K220" s="48" t="s">
        <v>18</v>
      </c>
      <c r="L220" s="48" t="s">
        <v>20</v>
      </c>
      <c r="M220" s="48" t="s">
        <v>36</v>
      </c>
      <c r="N220" s="48" t="s">
        <v>18</v>
      </c>
      <c r="O220" s="48" t="s">
        <v>165</v>
      </c>
      <c r="P220" s="48" t="s">
        <v>21</v>
      </c>
      <c r="Q220" s="48" t="s">
        <v>25</v>
      </c>
      <c r="R220" s="156"/>
      <c r="S220" s="158"/>
      <c r="T220" s="1">
        <v>0</v>
      </c>
      <c r="U220" s="1">
        <f>4199.9+2224.5-291-681.9</f>
        <v>5451.5</v>
      </c>
      <c r="V220" s="1">
        <f>2529.4-2529.4</f>
        <v>0</v>
      </c>
      <c r="W220" s="1">
        <f>2800-2800</f>
        <v>0</v>
      </c>
      <c r="X220" s="1">
        <f>1439.7-14.3-99.8</f>
        <v>1325.6000000000001</v>
      </c>
      <c r="Y220" s="1">
        <f>0+546.3-175.9</f>
        <v>370.4</v>
      </c>
      <c r="Z220" s="1">
        <f t="shared" ref="Z220" si="76">2800-2800</f>
        <v>0</v>
      </c>
      <c r="AA220" s="53">
        <f>SUM(T220:Z220)</f>
        <v>7147.5</v>
      </c>
      <c r="AB220" s="52">
        <v>2023</v>
      </c>
      <c r="AC220" s="90"/>
      <c r="AD220" s="70"/>
    </row>
    <row r="221" spans="1:31" s="65" customFormat="1" x14ac:dyDescent="0.25">
      <c r="A221" s="48" t="s">
        <v>18</v>
      </c>
      <c r="B221" s="48" t="s">
        <v>18</v>
      </c>
      <c r="C221" s="48" t="s">
        <v>22</v>
      </c>
      <c r="D221" s="48" t="s">
        <v>18</v>
      </c>
      <c r="E221" s="48" t="s">
        <v>24</v>
      </c>
      <c r="F221" s="48" t="s">
        <v>18</v>
      </c>
      <c r="G221" s="48" t="s">
        <v>42</v>
      </c>
      <c r="H221" s="48" t="s">
        <v>19</v>
      </c>
      <c r="I221" s="48" t="s">
        <v>24</v>
      </c>
      <c r="J221" s="48" t="s">
        <v>18</v>
      </c>
      <c r="K221" s="48" t="s">
        <v>18</v>
      </c>
      <c r="L221" s="48" t="s">
        <v>20</v>
      </c>
      <c r="M221" s="48" t="s">
        <v>18</v>
      </c>
      <c r="N221" s="48" t="s">
        <v>18</v>
      </c>
      <c r="O221" s="48" t="s">
        <v>165</v>
      </c>
      <c r="P221" s="48" t="s">
        <v>21</v>
      </c>
      <c r="Q221" s="48" t="s">
        <v>25</v>
      </c>
      <c r="R221" s="156"/>
      <c r="S221" s="158"/>
      <c r="T221" s="1">
        <v>0</v>
      </c>
      <c r="U221" s="1">
        <v>0</v>
      </c>
      <c r="V221" s="1">
        <v>0</v>
      </c>
      <c r="W221" s="1">
        <v>0</v>
      </c>
      <c r="X221" s="1">
        <f>154.1-24.5</f>
        <v>129.6</v>
      </c>
      <c r="Y221" s="1">
        <v>117</v>
      </c>
      <c r="Z221" s="1">
        <v>0</v>
      </c>
      <c r="AA221" s="53">
        <f>SUM(T221:Z221)</f>
        <v>246.6</v>
      </c>
      <c r="AB221" s="52">
        <v>2023</v>
      </c>
      <c r="AC221" s="90"/>
      <c r="AD221" s="70"/>
    </row>
    <row r="222" spans="1:31" s="65" customFormat="1" x14ac:dyDescent="0.25">
      <c r="A222" s="48" t="s">
        <v>18</v>
      </c>
      <c r="B222" s="48" t="s">
        <v>18</v>
      </c>
      <c r="C222" s="48" t="s">
        <v>22</v>
      </c>
      <c r="D222" s="48" t="s">
        <v>18</v>
      </c>
      <c r="E222" s="48" t="s">
        <v>24</v>
      </c>
      <c r="F222" s="48" t="s">
        <v>18</v>
      </c>
      <c r="G222" s="48" t="s">
        <v>42</v>
      </c>
      <c r="H222" s="48" t="s">
        <v>19</v>
      </c>
      <c r="I222" s="48" t="s">
        <v>24</v>
      </c>
      <c r="J222" s="48" t="s">
        <v>18</v>
      </c>
      <c r="K222" s="48" t="s">
        <v>18</v>
      </c>
      <c r="L222" s="48" t="s">
        <v>20</v>
      </c>
      <c r="M222" s="48" t="s">
        <v>42</v>
      </c>
      <c r="N222" s="48" t="s">
        <v>42</v>
      </c>
      <c r="O222" s="48" t="s">
        <v>42</v>
      </c>
      <c r="P222" s="48" t="s">
        <v>42</v>
      </c>
      <c r="Q222" s="48" t="s">
        <v>42</v>
      </c>
      <c r="R222" s="156"/>
      <c r="S222" s="159"/>
      <c r="T222" s="1">
        <v>0</v>
      </c>
      <c r="U222" s="1">
        <f>164.3-164.3+200+449.4+50.8-371.3-59.3</f>
        <v>269.59999999999991</v>
      </c>
      <c r="V222" s="1">
        <f>270.6-221.8</f>
        <v>48.800000000000011</v>
      </c>
      <c r="W222" s="1">
        <f>0+160-47.8</f>
        <v>112.2</v>
      </c>
      <c r="X222" s="1">
        <f>50+2011.7+65</f>
        <v>2126.6999999999998</v>
      </c>
      <c r="Y222" s="1">
        <v>0</v>
      </c>
      <c r="Z222" s="1">
        <v>0</v>
      </c>
      <c r="AA222" s="53">
        <f t="shared" ref="AA222" si="77">SUM(T222:Z222)</f>
        <v>2557.2999999999997</v>
      </c>
      <c r="AB222" s="52">
        <v>2022</v>
      </c>
      <c r="AC222" s="90"/>
      <c r="AD222" s="70"/>
    </row>
    <row r="223" spans="1:31" s="65" customFormat="1" ht="64.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67" t="s">
        <v>255</v>
      </c>
      <c r="S223" s="55" t="s">
        <v>41</v>
      </c>
      <c r="T223" s="3">
        <v>0</v>
      </c>
      <c r="U223" s="3">
        <v>11.6</v>
      </c>
      <c r="V223" s="3">
        <f>6.8-6.8</f>
        <v>0</v>
      </c>
      <c r="W223" s="3">
        <v>0</v>
      </c>
      <c r="X223" s="3">
        <f>2.2+0.5</f>
        <v>2.7</v>
      </c>
      <c r="Y223" s="3">
        <v>1.2</v>
      </c>
      <c r="Z223" s="3">
        <v>0</v>
      </c>
      <c r="AA223" s="6">
        <f>SUM(T223:Z223)</f>
        <v>15.5</v>
      </c>
      <c r="AB223" s="37">
        <v>2023</v>
      </c>
      <c r="AC223" s="90"/>
    </row>
    <row r="224" spans="1:31" s="65" customFormat="1" ht="47.25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69" t="s">
        <v>256</v>
      </c>
      <c r="S224" s="55" t="s">
        <v>37</v>
      </c>
      <c r="T224" s="40">
        <v>0</v>
      </c>
      <c r="U224" s="40">
        <v>8</v>
      </c>
      <c r="V224" s="40">
        <f>3-3</f>
        <v>0</v>
      </c>
      <c r="W224" s="40">
        <v>0</v>
      </c>
      <c r="X224" s="40">
        <v>2</v>
      </c>
      <c r="Y224" s="40">
        <v>1</v>
      </c>
      <c r="Z224" s="40">
        <v>0</v>
      </c>
      <c r="AA224" s="43">
        <f>SUM(T224:Z224)</f>
        <v>11</v>
      </c>
      <c r="AB224" s="37">
        <v>2023</v>
      </c>
      <c r="AC224" s="90"/>
      <c r="AD224" s="70"/>
    </row>
    <row r="225" spans="1:30" s="120" customFormat="1" ht="63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67" t="s">
        <v>328</v>
      </c>
      <c r="S225" s="46" t="s">
        <v>37</v>
      </c>
      <c r="T225" s="40">
        <v>0</v>
      </c>
      <c r="U225" s="40">
        <v>8</v>
      </c>
      <c r="V225" s="40">
        <v>5</v>
      </c>
      <c r="W225" s="40">
        <v>2</v>
      </c>
      <c r="X225" s="40">
        <v>2</v>
      </c>
      <c r="Y225" s="40">
        <v>0</v>
      </c>
      <c r="Z225" s="40">
        <v>0</v>
      </c>
      <c r="AA225" s="43">
        <f>SUM(T225:Z225)</f>
        <v>17</v>
      </c>
      <c r="AB225" s="37">
        <v>2022</v>
      </c>
      <c r="AC225" s="98"/>
      <c r="AD225" s="119"/>
    </row>
    <row r="226" spans="1:30" s="65" customFormat="1" x14ac:dyDescent="0.25">
      <c r="A226" s="48" t="s">
        <v>18</v>
      </c>
      <c r="B226" s="48" t="s">
        <v>18</v>
      </c>
      <c r="C226" s="48" t="s">
        <v>24</v>
      </c>
      <c r="D226" s="48" t="s">
        <v>18</v>
      </c>
      <c r="E226" s="48" t="s">
        <v>24</v>
      </c>
      <c r="F226" s="48" t="s">
        <v>18</v>
      </c>
      <c r="G226" s="48" t="s">
        <v>42</v>
      </c>
      <c r="H226" s="48" t="s">
        <v>19</v>
      </c>
      <c r="I226" s="48" t="s">
        <v>24</v>
      </c>
      <c r="J226" s="48" t="s">
        <v>18</v>
      </c>
      <c r="K226" s="48" t="s">
        <v>18</v>
      </c>
      <c r="L226" s="48" t="s">
        <v>20</v>
      </c>
      <c r="M226" s="48" t="s">
        <v>18</v>
      </c>
      <c r="N226" s="48" t="s">
        <v>18</v>
      </c>
      <c r="O226" s="48" t="s">
        <v>18</v>
      </c>
      <c r="P226" s="48" t="s">
        <v>18</v>
      </c>
      <c r="Q226" s="48" t="s">
        <v>18</v>
      </c>
      <c r="R226" s="156" t="s">
        <v>127</v>
      </c>
      <c r="S226" s="157" t="s">
        <v>0</v>
      </c>
      <c r="T226" s="53">
        <f>T228+T230</f>
        <v>0</v>
      </c>
      <c r="U226" s="53">
        <f>SUM(U227:U230)</f>
        <v>22882.399999999998</v>
      </c>
      <c r="V226" s="53">
        <f t="shared" ref="V226:X226" si="78">SUM(V227:V230)</f>
        <v>0</v>
      </c>
      <c r="W226" s="53">
        <f t="shared" si="78"/>
        <v>0</v>
      </c>
      <c r="X226" s="53">
        <f t="shared" si="78"/>
        <v>13894.7</v>
      </c>
      <c r="Y226" s="53">
        <f t="shared" ref="Y226:Z226" si="79">SUM(Y227:Y230)</f>
        <v>0</v>
      </c>
      <c r="Z226" s="53">
        <f t="shared" si="79"/>
        <v>0</v>
      </c>
      <c r="AA226" s="53">
        <f>SUM(T226:Z226)</f>
        <v>36777.1</v>
      </c>
      <c r="AB226" s="52">
        <v>2022</v>
      </c>
      <c r="AC226" s="90"/>
    </row>
    <row r="227" spans="1:30" s="65" customFormat="1" x14ac:dyDescent="0.25">
      <c r="A227" s="48" t="s">
        <v>18</v>
      </c>
      <c r="B227" s="48" t="s">
        <v>18</v>
      </c>
      <c r="C227" s="48" t="s">
        <v>24</v>
      </c>
      <c r="D227" s="48" t="s">
        <v>18</v>
      </c>
      <c r="E227" s="48" t="s">
        <v>24</v>
      </c>
      <c r="F227" s="48" t="s">
        <v>18</v>
      </c>
      <c r="G227" s="48" t="s">
        <v>42</v>
      </c>
      <c r="H227" s="48" t="s">
        <v>19</v>
      </c>
      <c r="I227" s="48" t="s">
        <v>24</v>
      </c>
      <c r="J227" s="48" t="s">
        <v>18</v>
      </c>
      <c r="K227" s="48" t="s">
        <v>18</v>
      </c>
      <c r="L227" s="48" t="s">
        <v>20</v>
      </c>
      <c r="M227" s="48" t="s">
        <v>19</v>
      </c>
      <c r="N227" s="48" t="s">
        <v>18</v>
      </c>
      <c r="O227" s="48" t="s">
        <v>165</v>
      </c>
      <c r="P227" s="48" t="s">
        <v>21</v>
      </c>
      <c r="Q227" s="48" t="s">
        <v>25</v>
      </c>
      <c r="R227" s="156"/>
      <c r="S227" s="158"/>
      <c r="T227" s="1">
        <f>T230+T231</f>
        <v>0</v>
      </c>
      <c r="U227" s="1">
        <f>14400.1+2862.7</f>
        <v>17262.8</v>
      </c>
      <c r="V227" s="1">
        <v>0</v>
      </c>
      <c r="W227" s="1">
        <v>0</v>
      </c>
      <c r="X227" s="1">
        <v>11517.2</v>
      </c>
      <c r="Y227" s="1">
        <v>0</v>
      </c>
      <c r="Z227" s="1">
        <v>0</v>
      </c>
      <c r="AA227" s="53">
        <f t="shared" ref="AA227:AA230" si="80">SUM(T227:Z227)</f>
        <v>28780</v>
      </c>
      <c r="AB227" s="52">
        <v>2022</v>
      </c>
      <c r="AC227" s="90"/>
    </row>
    <row r="228" spans="1:30" s="65" customFormat="1" x14ac:dyDescent="0.25">
      <c r="A228" s="48" t="s">
        <v>18</v>
      </c>
      <c r="B228" s="48" t="s">
        <v>18</v>
      </c>
      <c r="C228" s="48" t="s">
        <v>24</v>
      </c>
      <c r="D228" s="48" t="s">
        <v>18</v>
      </c>
      <c r="E228" s="48" t="s">
        <v>24</v>
      </c>
      <c r="F228" s="48" t="s">
        <v>18</v>
      </c>
      <c r="G228" s="48" t="s">
        <v>42</v>
      </c>
      <c r="H228" s="48" t="s">
        <v>19</v>
      </c>
      <c r="I228" s="48" t="s">
        <v>24</v>
      </c>
      <c r="J228" s="48" t="s">
        <v>18</v>
      </c>
      <c r="K228" s="48" t="s">
        <v>18</v>
      </c>
      <c r="L228" s="48" t="s">
        <v>20</v>
      </c>
      <c r="M228" s="48" t="s">
        <v>36</v>
      </c>
      <c r="N228" s="48" t="s">
        <v>18</v>
      </c>
      <c r="O228" s="48" t="s">
        <v>165</v>
      </c>
      <c r="P228" s="48" t="s">
        <v>21</v>
      </c>
      <c r="Q228" s="48" t="s">
        <v>25</v>
      </c>
      <c r="R228" s="156"/>
      <c r="S228" s="158"/>
      <c r="T228" s="1">
        <v>0</v>
      </c>
      <c r="U228" s="1">
        <f>3599.9+2545.7-290-443.1</f>
        <v>5412.5</v>
      </c>
      <c r="V228" s="1">
        <f>1096.5-1096.5</f>
        <v>0</v>
      </c>
      <c r="W228" s="1">
        <f>1500-1500</f>
        <v>0</v>
      </c>
      <c r="X228" s="1">
        <f>2879.8-831.9</f>
        <v>2047.9</v>
      </c>
      <c r="Y228" s="1">
        <f>1500-1500</f>
        <v>0</v>
      </c>
      <c r="Z228" s="1">
        <f>1500-1500</f>
        <v>0</v>
      </c>
      <c r="AA228" s="53">
        <f t="shared" si="80"/>
        <v>7460.4</v>
      </c>
      <c r="AB228" s="52">
        <v>2022</v>
      </c>
      <c r="AC228" s="90"/>
    </row>
    <row r="229" spans="1:30" s="65" customFormat="1" x14ac:dyDescent="0.25">
      <c r="A229" s="48" t="s">
        <v>18</v>
      </c>
      <c r="B229" s="48" t="s">
        <v>18</v>
      </c>
      <c r="C229" s="48" t="s">
        <v>24</v>
      </c>
      <c r="D229" s="48" t="s">
        <v>18</v>
      </c>
      <c r="E229" s="48" t="s">
        <v>24</v>
      </c>
      <c r="F229" s="48" t="s">
        <v>18</v>
      </c>
      <c r="G229" s="48" t="s">
        <v>42</v>
      </c>
      <c r="H229" s="48" t="s">
        <v>19</v>
      </c>
      <c r="I229" s="48" t="s">
        <v>24</v>
      </c>
      <c r="J229" s="48" t="s">
        <v>18</v>
      </c>
      <c r="K229" s="48" t="s">
        <v>18</v>
      </c>
      <c r="L229" s="48" t="s">
        <v>20</v>
      </c>
      <c r="M229" s="48" t="s">
        <v>18</v>
      </c>
      <c r="N229" s="48" t="s">
        <v>18</v>
      </c>
      <c r="O229" s="48" t="s">
        <v>165</v>
      </c>
      <c r="P229" s="48" t="s">
        <v>21</v>
      </c>
      <c r="Q229" s="48" t="s">
        <v>25</v>
      </c>
      <c r="R229" s="156"/>
      <c r="S229" s="158"/>
      <c r="T229" s="1">
        <v>0</v>
      </c>
      <c r="U229" s="1">
        <v>0</v>
      </c>
      <c r="V229" s="1">
        <v>0</v>
      </c>
      <c r="W229" s="1">
        <f>1500-1500</f>
        <v>0</v>
      </c>
      <c r="X229" s="1">
        <v>329.6</v>
      </c>
      <c r="Y229" s="1">
        <f>1500-1500</f>
        <v>0</v>
      </c>
      <c r="Z229" s="1">
        <f>1500-1500</f>
        <v>0</v>
      </c>
      <c r="AA229" s="53">
        <f t="shared" si="80"/>
        <v>329.6</v>
      </c>
      <c r="AB229" s="52">
        <v>2022</v>
      </c>
      <c r="AC229" s="90"/>
    </row>
    <row r="230" spans="1:30" s="65" customFormat="1" x14ac:dyDescent="0.25">
      <c r="A230" s="48" t="s">
        <v>18</v>
      </c>
      <c r="B230" s="48" t="s">
        <v>18</v>
      </c>
      <c r="C230" s="48" t="s">
        <v>24</v>
      </c>
      <c r="D230" s="48" t="s">
        <v>18</v>
      </c>
      <c r="E230" s="48" t="s">
        <v>24</v>
      </c>
      <c r="F230" s="48" t="s">
        <v>18</v>
      </c>
      <c r="G230" s="48" t="s">
        <v>42</v>
      </c>
      <c r="H230" s="48" t="s">
        <v>19</v>
      </c>
      <c r="I230" s="48" t="s">
        <v>24</v>
      </c>
      <c r="J230" s="48" t="s">
        <v>18</v>
      </c>
      <c r="K230" s="48" t="s">
        <v>18</v>
      </c>
      <c r="L230" s="48" t="s">
        <v>20</v>
      </c>
      <c r="M230" s="48" t="s">
        <v>42</v>
      </c>
      <c r="N230" s="48" t="s">
        <v>42</v>
      </c>
      <c r="O230" s="48" t="s">
        <v>42</v>
      </c>
      <c r="P230" s="48" t="s">
        <v>42</v>
      </c>
      <c r="Q230" s="48" t="s">
        <v>42</v>
      </c>
      <c r="R230" s="156"/>
      <c r="S230" s="159"/>
      <c r="T230" s="1">
        <v>0</v>
      </c>
      <c r="U230" s="1">
        <f>145-145+100+385.2+30.4-308.5</f>
        <v>207.10000000000002</v>
      </c>
      <c r="V230" s="1">
        <f>403.5-403.5</f>
        <v>0</v>
      </c>
      <c r="W230" s="1">
        <v>0</v>
      </c>
      <c r="X230" s="1">
        <v>0</v>
      </c>
      <c r="Y230" s="1">
        <v>0</v>
      </c>
      <c r="Z230" s="1">
        <v>0</v>
      </c>
      <c r="AA230" s="53">
        <f t="shared" si="80"/>
        <v>207.10000000000002</v>
      </c>
      <c r="AB230" s="52">
        <v>2019</v>
      </c>
      <c r="AC230" s="90"/>
    </row>
    <row r="231" spans="1:30" s="65" customFormat="1" ht="63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67" t="s">
        <v>257</v>
      </c>
      <c r="S231" s="55" t="s">
        <v>50</v>
      </c>
      <c r="T231" s="3">
        <v>0</v>
      </c>
      <c r="U231" s="3">
        <v>10.6</v>
      </c>
      <c r="V231" s="3">
        <f>3-3</f>
        <v>0</v>
      </c>
      <c r="W231" s="3">
        <v>0</v>
      </c>
      <c r="X231" s="3">
        <v>3.7</v>
      </c>
      <c r="Y231" s="3">
        <v>0</v>
      </c>
      <c r="Z231" s="3">
        <v>0</v>
      </c>
      <c r="AA231" s="6">
        <f>SUM(T231:Z231)</f>
        <v>14.3</v>
      </c>
      <c r="AB231" s="37">
        <v>2022</v>
      </c>
      <c r="AC231" s="90"/>
    </row>
    <row r="232" spans="1:30" s="65" customFormat="1" ht="47.25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69" t="s">
        <v>258</v>
      </c>
      <c r="S232" s="55" t="s">
        <v>37</v>
      </c>
      <c r="T232" s="40">
        <v>0</v>
      </c>
      <c r="U232" s="40">
        <v>4</v>
      </c>
      <c r="V232" s="40">
        <f>2-2</f>
        <v>0</v>
      </c>
      <c r="W232" s="40">
        <v>0</v>
      </c>
      <c r="X232" s="40">
        <v>3</v>
      </c>
      <c r="Y232" s="40">
        <v>0</v>
      </c>
      <c r="Z232" s="40">
        <v>0</v>
      </c>
      <c r="AA232" s="43">
        <f>SUM(T232:Z232)</f>
        <v>7</v>
      </c>
      <c r="AB232" s="37">
        <v>2022</v>
      </c>
      <c r="AC232" s="90"/>
      <c r="AD232" s="70"/>
    </row>
    <row r="233" spans="1:30" s="120" customFormat="1" ht="48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149" t="s">
        <v>265</v>
      </c>
      <c r="S233" s="46" t="s">
        <v>37</v>
      </c>
      <c r="T233" s="40">
        <v>0</v>
      </c>
      <c r="U233" s="40">
        <v>4</v>
      </c>
      <c r="V233" s="40">
        <v>0</v>
      </c>
      <c r="W233" s="40">
        <v>0</v>
      </c>
      <c r="X233" s="40">
        <v>3</v>
      </c>
      <c r="Y233" s="40">
        <v>0</v>
      </c>
      <c r="Z233" s="40">
        <v>0</v>
      </c>
      <c r="AA233" s="43">
        <f>SUM(T233:Z233)</f>
        <v>7</v>
      </c>
      <c r="AB233" s="37">
        <v>2022</v>
      </c>
      <c r="AC233" s="98"/>
      <c r="AD233" s="119"/>
    </row>
    <row r="234" spans="1:30" s="65" customFormat="1" x14ac:dyDescent="0.25">
      <c r="A234" s="48" t="s">
        <v>18</v>
      </c>
      <c r="B234" s="48" t="s">
        <v>18</v>
      </c>
      <c r="C234" s="48" t="s">
        <v>21</v>
      </c>
      <c r="D234" s="48" t="s">
        <v>18</v>
      </c>
      <c r="E234" s="48" t="s">
        <v>24</v>
      </c>
      <c r="F234" s="48" t="s">
        <v>18</v>
      </c>
      <c r="G234" s="48" t="s">
        <v>42</v>
      </c>
      <c r="H234" s="48" t="s">
        <v>19</v>
      </c>
      <c r="I234" s="48" t="s">
        <v>24</v>
      </c>
      <c r="J234" s="48" t="s">
        <v>18</v>
      </c>
      <c r="K234" s="48" t="s">
        <v>18</v>
      </c>
      <c r="L234" s="48" t="s">
        <v>20</v>
      </c>
      <c r="M234" s="48" t="s">
        <v>18</v>
      </c>
      <c r="N234" s="48" t="s">
        <v>18</v>
      </c>
      <c r="O234" s="48" t="s">
        <v>18</v>
      </c>
      <c r="P234" s="48" t="s">
        <v>18</v>
      </c>
      <c r="Q234" s="48" t="s">
        <v>18</v>
      </c>
      <c r="R234" s="156" t="s">
        <v>127</v>
      </c>
      <c r="S234" s="157" t="s">
        <v>0</v>
      </c>
      <c r="T234" s="53">
        <f>T236+T238</f>
        <v>0</v>
      </c>
      <c r="U234" s="53">
        <f>SUM(U235:U238)</f>
        <v>25870.1</v>
      </c>
      <c r="V234" s="53">
        <f t="shared" ref="V234:X234" si="81">SUM(V235:V238)</f>
        <v>30</v>
      </c>
      <c r="W234" s="53">
        <f t="shared" si="81"/>
        <v>0</v>
      </c>
      <c r="X234" s="53">
        <f t="shared" si="81"/>
        <v>5293</v>
      </c>
      <c r="Y234" s="53">
        <f t="shared" ref="Y234:Z234" si="82">SUM(Y235:Y238)</f>
        <v>0</v>
      </c>
      <c r="Z234" s="53">
        <f t="shared" si="82"/>
        <v>0</v>
      </c>
      <c r="AA234" s="53">
        <f>SUM(T234:Z234)</f>
        <v>31193.1</v>
      </c>
      <c r="AB234" s="52">
        <v>2022</v>
      </c>
      <c r="AC234" s="90"/>
    </row>
    <row r="235" spans="1:30" s="65" customFormat="1" x14ac:dyDescent="0.25">
      <c r="A235" s="48" t="s">
        <v>18</v>
      </c>
      <c r="B235" s="48" t="s">
        <v>18</v>
      </c>
      <c r="C235" s="48" t="s">
        <v>21</v>
      </c>
      <c r="D235" s="48" t="s">
        <v>18</v>
      </c>
      <c r="E235" s="48" t="s">
        <v>24</v>
      </c>
      <c r="F235" s="48" t="s">
        <v>18</v>
      </c>
      <c r="G235" s="48" t="s">
        <v>42</v>
      </c>
      <c r="H235" s="48" t="s">
        <v>19</v>
      </c>
      <c r="I235" s="48" t="s">
        <v>24</v>
      </c>
      <c r="J235" s="48" t="s">
        <v>18</v>
      </c>
      <c r="K235" s="48" t="s">
        <v>18</v>
      </c>
      <c r="L235" s="48" t="s">
        <v>20</v>
      </c>
      <c r="M235" s="48" t="s">
        <v>19</v>
      </c>
      <c r="N235" s="48" t="s">
        <v>18</v>
      </c>
      <c r="O235" s="48" t="s">
        <v>165</v>
      </c>
      <c r="P235" s="48" t="s">
        <v>21</v>
      </c>
      <c r="Q235" s="48" t="s">
        <v>25</v>
      </c>
      <c r="R235" s="156"/>
      <c r="S235" s="158"/>
      <c r="T235" s="1">
        <v>0</v>
      </c>
      <c r="U235" s="1">
        <f>16800.1+3497.2</f>
        <v>20297.3</v>
      </c>
      <c r="V235" s="1">
        <v>0</v>
      </c>
      <c r="W235" s="1">
        <v>0</v>
      </c>
      <c r="X235" s="1">
        <f>5566.2-1385.8</f>
        <v>4180.3999999999996</v>
      </c>
      <c r="Y235" s="1">
        <v>0</v>
      </c>
      <c r="Z235" s="1">
        <v>0</v>
      </c>
      <c r="AA235" s="53">
        <f t="shared" ref="AA235:AA237" si="83">SUM(T235:Z235)</f>
        <v>24477.699999999997</v>
      </c>
      <c r="AB235" s="52">
        <v>2022</v>
      </c>
      <c r="AC235" s="90"/>
    </row>
    <row r="236" spans="1:30" s="65" customFormat="1" x14ac:dyDescent="0.25">
      <c r="A236" s="48" t="s">
        <v>18</v>
      </c>
      <c r="B236" s="48" t="s">
        <v>18</v>
      </c>
      <c r="C236" s="48" t="s">
        <v>21</v>
      </c>
      <c r="D236" s="48" t="s">
        <v>18</v>
      </c>
      <c r="E236" s="48" t="s">
        <v>24</v>
      </c>
      <c r="F236" s="48" t="s">
        <v>18</v>
      </c>
      <c r="G236" s="48" t="s">
        <v>42</v>
      </c>
      <c r="H236" s="48" t="s">
        <v>19</v>
      </c>
      <c r="I236" s="48" t="s">
        <v>24</v>
      </c>
      <c r="J236" s="48" t="s">
        <v>18</v>
      </c>
      <c r="K236" s="48" t="s">
        <v>18</v>
      </c>
      <c r="L236" s="48" t="s">
        <v>20</v>
      </c>
      <c r="M236" s="48" t="s">
        <v>36</v>
      </c>
      <c r="N236" s="48" t="s">
        <v>18</v>
      </c>
      <c r="O236" s="48" t="s">
        <v>165</v>
      </c>
      <c r="P236" s="48" t="s">
        <v>21</v>
      </c>
      <c r="Q236" s="48" t="s">
        <v>25</v>
      </c>
      <c r="R236" s="156"/>
      <c r="S236" s="158"/>
      <c r="T236" s="1">
        <v>0</v>
      </c>
      <c r="U236" s="1">
        <f>4199.9+588.4+1708.4-290-845.8</f>
        <v>5360.8999999999987</v>
      </c>
      <c r="V236" s="1">
        <f>1355-1355</f>
        <v>0</v>
      </c>
      <c r="W236" s="1">
        <f>1500-1500</f>
        <v>0</v>
      </c>
      <c r="X236" s="1">
        <f>1045.1-13.1</f>
        <v>1032</v>
      </c>
      <c r="Y236" s="1">
        <f>1500-1500</f>
        <v>0</v>
      </c>
      <c r="Z236" s="1">
        <f>1500-1500</f>
        <v>0</v>
      </c>
      <c r="AA236" s="53">
        <f t="shared" si="83"/>
        <v>6392.8999999999987</v>
      </c>
      <c r="AB236" s="52">
        <v>2022</v>
      </c>
      <c r="AC236" s="90"/>
    </row>
    <row r="237" spans="1:30" s="65" customFormat="1" x14ac:dyDescent="0.25">
      <c r="A237" s="48" t="s">
        <v>18</v>
      </c>
      <c r="B237" s="48" t="s">
        <v>18</v>
      </c>
      <c r="C237" s="48" t="s">
        <v>21</v>
      </c>
      <c r="D237" s="48" t="s">
        <v>18</v>
      </c>
      <c r="E237" s="48" t="s">
        <v>24</v>
      </c>
      <c r="F237" s="48" t="s">
        <v>18</v>
      </c>
      <c r="G237" s="48" t="s">
        <v>42</v>
      </c>
      <c r="H237" s="48" t="s">
        <v>19</v>
      </c>
      <c r="I237" s="48" t="s">
        <v>24</v>
      </c>
      <c r="J237" s="48" t="s">
        <v>18</v>
      </c>
      <c r="K237" s="48" t="s">
        <v>18</v>
      </c>
      <c r="L237" s="48" t="s">
        <v>20</v>
      </c>
      <c r="M237" s="48" t="s">
        <v>18</v>
      </c>
      <c r="N237" s="48" t="s">
        <v>18</v>
      </c>
      <c r="O237" s="48" t="s">
        <v>165</v>
      </c>
      <c r="P237" s="48" t="s">
        <v>21</v>
      </c>
      <c r="Q237" s="48" t="s">
        <v>25</v>
      </c>
      <c r="R237" s="156"/>
      <c r="S237" s="158"/>
      <c r="T237" s="1">
        <v>0</v>
      </c>
      <c r="U237" s="1">
        <v>0</v>
      </c>
      <c r="V237" s="1">
        <v>0</v>
      </c>
      <c r="W237" s="1">
        <v>0</v>
      </c>
      <c r="X237" s="1">
        <f>111.9-31.3</f>
        <v>80.600000000000009</v>
      </c>
      <c r="Y237" s="1">
        <v>0</v>
      </c>
      <c r="Z237" s="1">
        <v>0</v>
      </c>
      <c r="AA237" s="53">
        <f t="shared" si="83"/>
        <v>80.600000000000009</v>
      </c>
      <c r="AB237" s="52">
        <v>2022</v>
      </c>
      <c r="AC237" s="90"/>
    </row>
    <row r="238" spans="1:30" s="65" customFormat="1" x14ac:dyDescent="0.25">
      <c r="A238" s="48" t="s">
        <v>18</v>
      </c>
      <c r="B238" s="48" t="s">
        <v>18</v>
      </c>
      <c r="C238" s="48" t="s">
        <v>21</v>
      </c>
      <c r="D238" s="48" t="s">
        <v>18</v>
      </c>
      <c r="E238" s="48" t="s">
        <v>24</v>
      </c>
      <c r="F238" s="48" t="s">
        <v>18</v>
      </c>
      <c r="G238" s="48" t="s">
        <v>42</v>
      </c>
      <c r="H238" s="48" t="s">
        <v>19</v>
      </c>
      <c r="I238" s="48" t="s">
        <v>24</v>
      </c>
      <c r="J238" s="48" t="s">
        <v>18</v>
      </c>
      <c r="K238" s="48" t="s">
        <v>18</v>
      </c>
      <c r="L238" s="48" t="s">
        <v>20</v>
      </c>
      <c r="M238" s="48" t="s">
        <v>42</v>
      </c>
      <c r="N238" s="48" t="s">
        <v>42</v>
      </c>
      <c r="O238" s="48" t="s">
        <v>42</v>
      </c>
      <c r="P238" s="48" t="s">
        <v>42</v>
      </c>
      <c r="Q238" s="48" t="s">
        <v>42</v>
      </c>
      <c r="R238" s="156"/>
      <c r="S238" s="159"/>
      <c r="T238" s="1">
        <v>0</v>
      </c>
      <c r="U238" s="1">
        <f>145-145+100+449.4+12.6+23.8-373.9</f>
        <v>211.89999999999998</v>
      </c>
      <c r="V238" s="1">
        <f>145-115</f>
        <v>30</v>
      </c>
      <c r="W238" s="1">
        <v>0</v>
      </c>
      <c r="X238" s="1">
        <v>0</v>
      </c>
      <c r="Y238" s="1">
        <v>0</v>
      </c>
      <c r="Z238" s="1">
        <v>0</v>
      </c>
      <c r="AA238" s="53">
        <f>SUM(T238:Z238)</f>
        <v>241.89999999999998</v>
      </c>
      <c r="AB238" s="52">
        <v>2020</v>
      </c>
      <c r="AC238" s="90"/>
    </row>
    <row r="239" spans="1:30" s="65" customFormat="1" ht="63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67" t="s">
        <v>259</v>
      </c>
      <c r="S239" s="55" t="s">
        <v>50</v>
      </c>
      <c r="T239" s="40">
        <v>0</v>
      </c>
      <c r="U239" s="3">
        <v>11.9</v>
      </c>
      <c r="V239" s="3">
        <f>4-4</f>
        <v>0</v>
      </c>
      <c r="W239" s="3">
        <v>0</v>
      </c>
      <c r="X239" s="3">
        <v>1.9</v>
      </c>
      <c r="Y239" s="3">
        <v>0</v>
      </c>
      <c r="Z239" s="3">
        <v>0</v>
      </c>
      <c r="AA239" s="6">
        <f>SUM(T239:Z239)</f>
        <v>13.8</v>
      </c>
      <c r="AB239" s="37">
        <v>2022</v>
      </c>
      <c r="AC239" s="90"/>
    </row>
    <row r="240" spans="1:30" s="65" customFormat="1" ht="47.25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69" t="s">
        <v>260</v>
      </c>
      <c r="S240" s="55" t="s">
        <v>37</v>
      </c>
      <c r="T240" s="40">
        <v>0</v>
      </c>
      <c r="U240" s="40">
        <v>3</v>
      </c>
      <c r="V240" s="40">
        <f>3-3</f>
        <v>0</v>
      </c>
      <c r="W240" s="40">
        <v>0</v>
      </c>
      <c r="X240" s="40">
        <v>1</v>
      </c>
      <c r="Y240" s="40">
        <v>0</v>
      </c>
      <c r="Z240" s="40">
        <v>0</v>
      </c>
      <c r="AA240" s="43">
        <f>SUM(T240:Z240)</f>
        <v>4</v>
      </c>
      <c r="AB240" s="37">
        <v>2022</v>
      </c>
      <c r="AC240" s="90"/>
      <c r="AD240" s="70"/>
    </row>
    <row r="241" spans="1:30" s="120" customFormat="1" ht="48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149" t="s">
        <v>266</v>
      </c>
      <c r="S241" s="46" t="s">
        <v>37</v>
      </c>
      <c r="T241" s="40">
        <v>0</v>
      </c>
      <c r="U241" s="40">
        <v>3</v>
      </c>
      <c r="V241" s="40">
        <v>1</v>
      </c>
      <c r="W241" s="40">
        <v>0</v>
      </c>
      <c r="X241" s="40">
        <v>1</v>
      </c>
      <c r="Y241" s="40">
        <v>0</v>
      </c>
      <c r="Z241" s="40">
        <v>0</v>
      </c>
      <c r="AA241" s="43">
        <f>SUM(T241:Z241)</f>
        <v>5</v>
      </c>
      <c r="AB241" s="37">
        <v>2022</v>
      </c>
      <c r="AC241" s="98"/>
      <c r="AD241" s="119"/>
    </row>
    <row r="242" spans="1:30" s="65" customFormat="1" x14ac:dyDescent="0.25">
      <c r="A242" s="48" t="s">
        <v>18</v>
      </c>
      <c r="B242" s="48" t="s">
        <v>18</v>
      </c>
      <c r="C242" s="48" t="s">
        <v>25</v>
      </c>
      <c r="D242" s="48" t="s">
        <v>18</v>
      </c>
      <c r="E242" s="48" t="s">
        <v>24</v>
      </c>
      <c r="F242" s="48" t="s">
        <v>18</v>
      </c>
      <c r="G242" s="48" t="s">
        <v>42</v>
      </c>
      <c r="H242" s="48" t="s">
        <v>19</v>
      </c>
      <c r="I242" s="48" t="s">
        <v>24</v>
      </c>
      <c r="J242" s="48" t="s">
        <v>18</v>
      </c>
      <c r="K242" s="48" t="s">
        <v>18</v>
      </c>
      <c r="L242" s="48" t="s">
        <v>20</v>
      </c>
      <c r="M242" s="48" t="s">
        <v>18</v>
      </c>
      <c r="N242" s="48" t="s">
        <v>18</v>
      </c>
      <c r="O242" s="48" t="s">
        <v>18</v>
      </c>
      <c r="P242" s="48" t="s">
        <v>18</v>
      </c>
      <c r="Q242" s="48" t="s">
        <v>18</v>
      </c>
      <c r="R242" s="156" t="s">
        <v>127</v>
      </c>
      <c r="S242" s="157" t="s">
        <v>0</v>
      </c>
      <c r="T242" s="53">
        <f>T244+T246</f>
        <v>0</v>
      </c>
      <c r="U242" s="53">
        <f>SUM(U243:U246)</f>
        <v>10158.9</v>
      </c>
      <c r="V242" s="53">
        <f t="shared" ref="V242:X242" si="84">SUM(V243:V246)</f>
        <v>491</v>
      </c>
      <c r="W242" s="53">
        <f t="shared" si="84"/>
        <v>0</v>
      </c>
      <c r="X242" s="53">
        <f t="shared" si="84"/>
        <v>4885.0999999999995</v>
      </c>
      <c r="Y242" s="53">
        <f t="shared" ref="Y242:Z242" si="85">SUM(Y243:Y246)</f>
        <v>0</v>
      </c>
      <c r="Z242" s="53">
        <f t="shared" si="85"/>
        <v>0</v>
      </c>
      <c r="AA242" s="53">
        <f t="shared" ref="AA242:AA246" si="86">SUM(T242:Z242)</f>
        <v>15535</v>
      </c>
      <c r="AB242" s="52">
        <v>2022</v>
      </c>
      <c r="AC242" s="90"/>
    </row>
    <row r="243" spans="1:30" s="65" customFormat="1" x14ac:dyDescent="0.25">
      <c r="A243" s="48" t="s">
        <v>18</v>
      </c>
      <c r="B243" s="48" t="s">
        <v>18</v>
      </c>
      <c r="C243" s="48" t="s">
        <v>25</v>
      </c>
      <c r="D243" s="48" t="s">
        <v>18</v>
      </c>
      <c r="E243" s="48" t="s">
        <v>24</v>
      </c>
      <c r="F243" s="48" t="s">
        <v>18</v>
      </c>
      <c r="G243" s="48" t="s">
        <v>42</v>
      </c>
      <c r="H243" s="48" t="s">
        <v>19</v>
      </c>
      <c r="I243" s="48" t="s">
        <v>24</v>
      </c>
      <c r="J243" s="48" t="s">
        <v>18</v>
      </c>
      <c r="K243" s="48" t="s">
        <v>18</v>
      </c>
      <c r="L243" s="48" t="s">
        <v>20</v>
      </c>
      <c r="M243" s="48" t="s">
        <v>19</v>
      </c>
      <c r="N243" s="48" t="s">
        <v>18</v>
      </c>
      <c r="O243" s="48" t="s">
        <v>165</v>
      </c>
      <c r="P243" s="48" t="s">
        <v>21</v>
      </c>
      <c r="Q243" s="48" t="s">
        <v>25</v>
      </c>
      <c r="R243" s="156"/>
      <c r="S243" s="158"/>
      <c r="T243" s="1">
        <v>0</v>
      </c>
      <c r="U243" s="1">
        <f>9600-1604.2</f>
        <v>7995.8</v>
      </c>
      <c r="V243" s="1">
        <v>0</v>
      </c>
      <c r="W243" s="1">
        <v>0</v>
      </c>
      <c r="X243" s="1">
        <v>3184.8</v>
      </c>
      <c r="Y243" s="1">
        <v>0</v>
      </c>
      <c r="Z243" s="1">
        <v>0</v>
      </c>
      <c r="AA243" s="53">
        <f t="shared" si="86"/>
        <v>11180.6</v>
      </c>
      <c r="AB243" s="52">
        <v>2022</v>
      </c>
      <c r="AC243" s="90"/>
    </row>
    <row r="244" spans="1:30" s="65" customFormat="1" x14ac:dyDescent="0.25">
      <c r="A244" s="48" t="s">
        <v>18</v>
      </c>
      <c r="B244" s="48" t="s">
        <v>18</v>
      </c>
      <c r="C244" s="48" t="s">
        <v>25</v>
      </c>
      <c r="D244" s="48" t="s">
        <v>18</v>
      </c>
      <c r="E244" s="48" t="s">
        <v>24</v>
      </c>
      <c r="F244" s="48" t="s">
        <v>18</v>
      </c>
      <c r="G244" s="48" t="s">
        <v>42</v>
      </c>
      <c r="H244" s="48" t="s">
        <v>19</v>
      </c>
      <c r="I244" s="48" t="s">
        <v>24</v>
      </c>
      <c r="J244" s="48" t="s">
        <v>18</v>
      </c>
      <c r="K244" s="48" t="s">
        <v>18</v>
      </c>
      <c r="L244" s="48" t="s">
        <v>20</v>
      </c>
      <c r="M244" s="48" t="s">
        <v>36</v>
      </c>
      <c r="N244" s="48" t="s">
        <v>18</v>
      </c>
      <c r="O244" s="48" t="s">
        <v>165</v>
      </c>
      <c r="P244" s="48" t="s">
        <v>21</v>
      </c>
      <c r="Q244" s="48" t="s">
        <v>25</v>
      </c>
      <c r="R244" s="156"/>
      <c r="S244" s="158"/>
      <c r="T244" s="1">
        <v>0</v>
      </c>
      <c r="U244" s="1">
        <f>2401-402-43.9</f>
        <v>1955.1</v>
      </c>
      <c r="V244" s="1">
        <f>798.8-798.8</f>
        <v>0</v>
      </c>
      <c r="W244" s="1">
        <f>1500-1500</f>
        <v>0</v>
      </c>
      <c r="X244" s="1">
        <v>796.2</v>
      </c>
      <c r="Y244" s="1">
        <f>1500-1500</f>
        <v>0</v>
      </c>
      <c r="Z244" s="1">
        <f>1500-1500</f>
        <v>0</v>
      </c>
      <c r="AA244" s="53">
        <f t="shared" si="86"/>
        <v>2751.3</v>
      </c>
      <c r="AB244" s="52">
        <v>2022</v>
      </c>
      <c r="AC244" s="90"/>
    </row>
    <row r="245" spans="1:30" s="65" customFormat="1" x14ac:dyDescent="0.25">
      <c r="A245" s="48" t="s">
        <v>18</v>
      </c>
      <c r="B245" s="48" t="s">
        <v>18</v>
      </c>
      <c r="C245" s="48" t="s">
        <v>25</v>
      </c>
      <c r="D245" s="48" t="s">
        <v>18</v>
      </c>
      <c r="E245" s="48" t="s">
        <v>24</v>
      </c>
      <c r="F245" s="48" t="s">
        <v>18</v>
      </c>
      <c r="G245" s="48" t="s">
        <v>42</v>
      </c>
      <c r="H245" s="48" t="s">
        <v>19</v>
      </c>
      <c r="I245" s="48" t="s">
        <v>24</v>
      </c>
      <c r="J245" s="48" t="s">
        <v>18</v>
      </c>
      <c r="K245" s="48" t="s">
        <v>18</v>
      </c>
      <c r="L245" s="48" t="s">
        <v>20</v>
      </c>
      <c r="M245" s="48" t="s">
        <v>18</v>
      </c>
      <c r="N245" s="48" t="s">
        <v>18</v>
      </c>
      <c r="O245" s="48" t="s">
        <v>165</v>
      </c>
      <c r="P245" s="48" t="s">
        <v>21</v>
      </c>
      <c r="Q245" s="48" t="s">
        <v>25</v>
      </c>
      <c r="R245" s="156"/>
      <c r="S245" s="158"/>
      <c r="T245" s="1">
        <v>0</v>
      </c>
      <c r="U245" s="1">
        <v>0</v>
      </c>
      <c r="V245" s="1">
        <v>0</v>
      </c>
      <c r="W245" s="1">
        <v>0</v>
      </c>
      <c r="X245" s="1">
        <f>105.8-51.1</f>
        <v>54.699999999999996</v>
      </c>
      <c r="Y245" s="1">
        <v>0</v>
      </c>
      <c r="Z245" s="1">
        <v>0</v>
      </c>
      <c r="AA245" s="53">
        <f t="shared" si="86"/>
        <v>54.699999999999996</v>
      </c>
      <c r="AB245" s="52">
        <v>2022</v>
      </c>
      <c r="AC245" s="90"/>
    </row>
    <row r="246" spans="1:30" s="65" customFormat="1" x14ac:dyDescent="0.25">
      <c r="A246" s="48" t="s">
        <v>18</v>
      </c>
      <c r="B246" s="48" t="s">
        <v>18</v>
      </c>
      <c r="C246" s="48" t="s">
        <v>25</v>
      </c>
      <c r="D246" s="48" t="s">
        <v>18</v>
      </c>
      <c r="E246" s="48" t="s">
        <v>24</v>
      </c>
      <c r="F246" s="48" t="s">
        <v>18</v>
      </c>
      <c r="G246" s="48" t="s">
        <v>42</v>
      </c>
      <c r="H246" s="48" t="s">
        <v>19</v>
      </c>
      <c r="I246" s="48" t="s">
        <v>24</v>
      </c>
      <c r="J246" s="48" t="s">
        <v>18</v>
      </c>
      <c r="K246" s="48" t="s">
        <v>18</v>
      </c>
      <c r="L246" s="48" t="s">
        <v>20</v>
      </c>
      <c r="M246" s="48" t="s">
        <v>42</v>
      </c>
      <c r="N246" s="48" t="s">
        <v>42</v>
      </c>
      <c r="O246" s="48" t="s">
        <v>42</v>
      </c>
      <c r="P246" s="48" t="s">
        <v>42</v>
      </c>
      <c r="Q246" s="48" t="s">
        <v>42</v>
      </c>
      <c r="R246" s="156"/>
      <c r="S246" s="159"/>
      <c r="T246" s="1">
        <v>0</v>
      </c>
      <c r="U246" s="1">
        <f>356.9+402-550.9</f>
        <v>208</v>
      </c>
      <c r="V246" s="1">
        <f>701.2-88.6-121.6</f>
        <v>491</v>
      </c>
      <c r="W246" s="1">
        <v>0</v>
      </c>
      <c r="X246" s="1">
        <f>0+849.4</f>
        <v>849.4</v>
      </c>
      <c r="Y246" s="1">
        <v>0</v>
      </c>
      <c r="Z246" s="1">
        <v>0</v>
      </c>
      <c r="AA246" s="53">
        <f t="shared" si="86"/>
        <v>1548.4</v>
      </c>
      <c r="AB246" s="52">
        <v>2020</v>
      </c>
      <c r="AC246" s="90"/>
    </row>
    <row r="247" spans="1:30" s="65" customFormat="1" ht="63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67" t="s">
        <v>261</v>
      </c>
      <c r="S247" s="55" t="s">
        <v>50</v>
      </c>
      <c r="T247" s="3">
        <v>0</v>
      </c>
      <c r="U247" s="3">
        <v>4.0999999999999996</v>
      </c>
      <c r="V247" s="3">
        <f>1.3-1.3</f>
        <v>0</v>
      </c>
      <c r="W247" s="3">
        <v>0</v>
      </c>
      <c r="X247" s="3">
        <v>1</v>
      </c>
      <c r="Y247" s="3">
        <v>0</v>
      </c>
      <c r="Z247" s="3">
        <v>0</v>
      </c>
      <c r="AA247" s="6">
        <f>SUM(T247:Z247)</f>
        <v>5.0999999999999996</v>
      </c>
      <c r="AB247" s="37">
        <v>2022</v>
      </c>
      <c r="AC247" s="90"/>
    </row>
    <row r="248" spans="1:30" s="65" customFormat="1" ht="47.25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69" t="s">
        <v>262</v>
      </c>
      <c r="S248" s="55" t="s">
        <v>37</v>
      </c>
      <c r="T248" s="40">
        <v>0</v>
      </c>
      <c r="U248" s="40">
        <v>5</v>
      </c>
      <c r="V248" s="40">
        <f>1-1</f>
        <v>0</v>
      </c>
      <c r="W248" s="40">
        <v>0</v>
      </c>
      <c r="X248" s="40">
        <v>1</v>
      </c>
      <c r="Y248" s="40">
        <v>0</v>
      </c>
      <c r="Z248" s="40">
        <v>0</v>
      </c>
      <c r="AA248" s="43">
        <f t="shared" ref="AA248:AA249" si="87">SUM(T248:Z248)</f>
        <v>6</v>
      </c>
      <c r="AB248" s="37">
        <v>2022</v>
      </c>
      <c r="AC248" s="90"/>
      <c r="AD248" s="70"/>
    </row>
    <row r="249" spans="1:30" s="120" customFormat="1" ht="63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67" t="s">
        <v>308</v>
      </c>
      <c r="S249" s="46" t="s">
        <v>37</v>
      </c>
      <c r="T249" s="40">
        <v>0</v>
      </c>
      <c r="U249" s="40">
        <v>5</v>
      </c>
      <c r="V249" s="40">
        <v>8</v>
      </c>
      <c r="W249" s="40">
        <v>0</v>
      </c>
      <c r="X249" s="40">
        <v>1</v>
      </c>
      <c r="Y249" s="40">
        <v>0</v>
      </c>
      <c r="Z249" s="40">
        <v>0</v>
      </c>
      <c r="AA249" s="43">
        <f t="shared" si="87"/>
        <v>14</v>
      </c>
      <c r="AB249" s="37">
        <v>2022</v>
      </c>
      <c r="AC249" s="98"/>
      <c r="AD249" s="119"/>
    </row>
    <row r="250" spans="1:30" s="65" customFormat="1" x14ac:dyDescent="0.25">
      <c r="A250" s="48" t="s">
        <v>18</v>
      </c>
      <c r="B250" s="48" t="s">
        <v>19</v>
      </c>
      <c r="C250" s="48" t="s">
        <v>20</v>
      </c>
      <c r="D250" s="48" t="s">
        <v>18</v>
      </c>
      <c r="E250" s="48" t="s">
        <v>24</v>
      </c>
      <c r="F250" s="48" t="s">
        <v>18</v>
      </c>
      <c r="G250" s="48" t="s">
        <v>42</v>
      </c>
      <c r="H250" s="48" t="s">
        <v>19</v>
      </c>
      <c r="I250" s="48" t="s">
        <v>24</v>
      </c>
      <c r="J250" s="48" t="s">
        <v>18</v>
      </c>
      <c r="K250" s="48" t="s">
        <v>18</v>
      </c>
      <c r="L250" s="48" t="s">
        <v>20</v>
      </c>
      <c r="M250" s="48" t="s">
        <v>18</v>
      </c>
      <c r="N250" s="48" t="s">
        <v>18</v>
      </c>
      <c r="O250" s="48" t="s">
        <v>18</v>
      </c>
      <c r="P250" s="48" t="s">
        <v>18</v>
      </c>
      <c r="Q250" s="48" t="s">
        <v>18</v>
      </c>
      <c r="R250" s="156" t="s">
        <v>127</v>
      </c>
      <c r="S250" s="157" t="s">
        <v>0</v>
      </c>
      <c r="T250" s="53">
        <f t="shared" ref="T250:Z250" si="88">SUM(T251:T253)</f>
        <v>123487.5</v>
      </c>
      <c r="U250" s="53">
        <f t="shared" si="88"/>
        <v>579.5</v>
      </c>
      <c r="V250" s="53">
        <f t="shared" si="88"/>
        <v>0</v>
      </c>
      <c r="W250" s="53">
        <f t="shared" si="88"/>
        <v>0</v>
      </c>
      <c r="X250" s="53">
        <f t="shared" si="88"/>
        <v>0</v>
      </c>
      <c r="Y250" s="53">
        <f t="shared" si="88"/>
        <v>0</v>
      </c>
      <c r="Z250" s="53">
        <f t="shared" si="88"/>
        <v>0</v>
      </c>
      <c r="AA250" s="53">
        <f t="shared" ref="AA250:AA255" si="89">SUM(T250:Z250)</f>
        <v>124067</v>
      </c>
      <c r="AB250" s="52">
        <v>2019</v>
      </c>
      <c r="AC250" s="107"/>
    </row>
    <row r="251" spans="1:30" s="65" customFormat="1" x14ac:dyDescent="0.25">
      <c r="A251" s="48" t="s">
        <v>18</v>
      </c>
      <c r="B251" s="48" t="s">
        <v>19</v>
      </c>
      <c r="C251" s="48" t="s">
        <v>20</v>
      </c>
      <c r="D251" s="48" t="s">
        <v>18</v>
      </c>
      <c r="E251" s="48" t="s">
        <v>24</v>
      </c>
      <c r="F251" s="48" t="s">
        <v>18</v>
      </c>
      <c r="G251" s="48" t="s">
        <v>42</v>
      </c>
      <c r="H251" s="48" t="s">
        <v>19</v>
      </c>
      <c r="I251" s="48" t="s">
        <v>24</v>
      </c>
      <c r="J251" s="48" t="s">
        <v>18</v>
      </c>
      <c r="K251" s="48" t="s">
        <v>18</v>
      </c>
      <c r="L251" s="48" t="s">
        <v>20</v>
      </c>
      <c r="M251" s="48" t="s">
        <v>19</v>
      </c>
      <c r="N251" s="48" t="s">
        <v>18</v>
      </c>
      <c r="O251" s="48" t="s">
        <v>165</v>
      </c>
      <c r="P251" s="48" t="s">
        <v>21</v>
      </c>
      <c r="Q251" s="48" t="s">
        <v>25</v>
      </c>
      <c r="R251" s="156"/>
      <c r="S251" s="158"/>
      <c r="T251" s="1">
        <v>78128.899999999994</v>
      </c>
      <c r="U251" s="1">
        <f>57600.3-57600.3</f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3">
        <f t="shared" si="89"/>
        <v>78128.899999999994</v>
      </c>
      <c r="AB251" s="52">
        <v>2018</v>
      </c>
      <c r="AC251" s="31"/>
    </row>
    <row r="252" spans="1:30" s="65" customFormat="1" x14ac:dyDescent="0.25">
      <c r="A252" s="48" t="s">
        <v>18</v>
      </c>
      <c r="B252" s="48" t="s">
        <v>19</v>
      </c>
      <c r="C252" s="48" t="s">
        <v>20</v>
      </c>
      <c r="D252" s="48" t="s">
        <v>18</v>
      </c>
      <c r="E252" s="48" t="s">
        <v>24</v>
      </c>
      <c r="F252" s="48" t="s">
        <v>18</v>
      </c>
      <c r="G252" s="48" t="s">
        <v>42</v>
      </c>
      <c r="H252" s="48" t="s">
        <v>19</v>
      </c>
      <c r="I252" s="48" t="s">
        <v>24</v>
      </c>
      <c r="J252" s="48" t="s">
        <v>18</v>
      </c>
      <c r="K252" s="48" t="s">
        <v>18</v>
      </c>
      <c r="L252" s="48" t="s">
        <v>20</v>
      </c>
      <c r="M252" s="48" t="s">
        <v>36</v>
      </c>
      <c r="N252" s="48" t="s">
        <v>18</v>
      </c>
      <c r="O252" s="48" t="s">
        <v>165</v>
      </c>
      <c r="P252" s="48" t="s">
        <v>21</v>
      </c>
      <c r="Q252" s="48" t="s">
        <v>25</v>
      </c>
      <c r="R252" s="156"/>
      <c r="S252" s="158"/>
      <c r="T252" s="1">
        <f>18932.6+19997.4+4074.8+2495.5-26-605.7-796.8</f>
        <v>44071.8</v>
      </c>
      <c r="U252" s="1">
        <f>0+14400.7-14400.7</f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3">
        <f t="shared" si="89"/>
        <v>44071.8</v>
      </c>
      <c r="AB252" s="52">
        <v>2018</v>
      </c>
      <c r="AC252" s="31"/>
    </row>
    <row r="253" spans="1:30" s="65" customFormat="1" x14ac:dyDescent="0.25">
      <c r="A253" s="48" t="s">
        <v>18</v>
      </c>
      <c r="B253" s="48" t="s">
        <v>19</v>
      </c>
      <c r="C253" s="48" t="s">
        <v>20</v>
      </c>
      <c r="D253" s="48" t="s">
        <v>18</v>
      </c>
      <c r="E253" s="48" t="s">
        <v>24</v>
      </c>
      <c r="F253" s="48" t="s">
        <v>18</v>
      </c>
      <c r="G253" s="48" t="s">
        <v>42</v>
      </c>
      <c r="H253" s="48" t="s">
        <v>19</v>
      </c>
      <c r="I253" s="48" t="s">
        <v>24</v>
      </c>
      <c r="J253" s="48" t="s">
        <v>18</v>
      </c>
      <c r="K253" s="48" t="s">
        <v>18</v>
      </c>
      <c r="L253" s="48" t="s">
        <v>20</v>
      </c>
      <c r="M253" s="48" t="s">
        <v>42</v>
      </c>
      <c r="N253" s="48" t="s">
        <v>42</v>
      </c>
      <c r="O253" s="48" t="s">
        <v>42</v>
      </c>
      <c r="P253" s="48" t="s">
        <v>42</v>
      </c>
      <c r="Q253" s="48" t="s">
        <v>42</v>
      </c>
      <c r="R253" s="156"/>
      <c r="S253" s="159"/>
      <c r="T253" s="1">
        <f>2076.9+439-203.1-904.8-121.2</f>
        <v>1286.8000000000002</v>
      </c>
      <c r="U253" s="1">
        <v>579.5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53">
        <f t="shared" si="89"/>
        <v>1866.3000000000002</v>
      </c>
      <c r="AB253" s="52">
        <v>2019</v>
      </c>
      <c r="AC253" s="31"/>
    </row>
    <row r="254" spans="1:30" s="120" customFormat="1" ht="63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67" t="s">
        <v>263</v>
      </c>
      <c r="S254" s="46" t="s">
        <v>50</v>
      </c>
      <c r="T254" s="3">
        <v>58.6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6">
        <f t="shared" si="89"/>
        <v>58.6</v>
      </c>
      <c r="AB254" s="37">
        <v>2018</v>
      </c>
      <c r="AC254" s="98"/>
    </row>
    <row r="255" spans="1:30" s="120" customFormat="1" ht="31.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67" t="s">
        <v>264</v>
      </c>
      <c r="S255" s="46" t="s">
        <v>37</v>
      </c>
      <c r="T255" s="40">
        <v>28</v>
      </c>
      <c r="U255" s="40">
        <v>0</v>
      </c>
      <c r="V255" s="40">
        <v>0</v>
      </c>
      <c r="W255" s="40">
        <v>0</v>
      </c>
      <c r="X255" s="40">
        <v>0</v>
      </c>
      <c r="Y255" s="40">
        <v>0</v>
      </c>
      <c r="Z255" s="40">
        <v>0</v>
      </c>
      <c r="AA255" s="43">
        <f t="shared" si="89"/>
        <v>28</v>
      </c>
      <c r="AB255" s="37">
        <v>2018</v>
      </c>
      <c r="AC255" s="98"/>
      <c r="AD255" s="119"/>
    </row>
    <row r="256" spans="1:30" s="65" customFormat="1" ht="31.5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66" t="s">
        <v>171</v>
      </c>
      <c r="S256" s="49" t="s">
        <v>47</v>
      </c>
      <c r="T256" s="50">
        <v>1</v>
      </c>
      <c r="U256" s="50">
        <v>1</v>
      </c>
      <c r="V256" s="50">
        <v>1</v>
      </c>
      <c r="W256" s="50">
        <v>1</v>
      </c>
      <c r="X256" s="50">
        <v>1</v>
      </c>
      <c r="Y256" s="50">
        <v>1</v>
      </c>
      <c r="Z256" s="50">
        <v>1</v>
      </c>
      <c r="AA256" s="51">
        <v>1</v>
      </c>
      <c r="AB256" s="52">
        <v>2024</v>
      </c>
      <c r="AC256" s="31"/>
    </row>
    <row r="257" spans="1:31" ht="31.5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67" t="s">
        <v>128</v>
      </c>
      <c r="S257" s="37" t="s">
        <v>48</v>
      </c>
      <c r="T257" s="40">
        <f>25+19+31+16</f>
        <v>91</v>
      </c>
      <c r="U257" s="40">
        <f>6+15+31+5</f>
        <v>57</v>
      </c>
      <c r="V257" s="40">
        <f>50+19+31+70-60-49</f>
        <v>61</v>
      </c>
      <c r="W257" s="40">
        <f>2+15+31+30</f>
        <v>78</v>
      </c>
      <c r="X257" s="40">
        <f t="shared" ref="X257:Z257" si="90">50+19+31+70-60-49</f>
        <v>61</v>
      </c>
      <c r="Y257" s="40">
        <f t="shared" si="90"/>
        <v>61</v>
      </c>
      <c r="Z257" s="40">
        <f t="shared" si="90"/>
        <v>61</v>
      </c>
      <c r="AA257" s="43">
        <f>SUM(T257:Z257)</f>
        <v>470</v>
      </c>
      <c r="AB257" s="37">
        <v>2024</v>
      </c>
      <c r="AC257" s="115"/>
      <c r="AD257" s="88"/>
      <c r="AE257" s="88"/>
    </row>
    <row r="258" spans="1:31" ht="31.5" x14ac:dyDescent="0.25">
      <c r="A258" s="48"/>
      <c r="B258" s="48"/>
      <c r="C258" s="48"/>
      <c r="D258" s="48"/>
      <c r="E258" s="48"/>
      <c r="F258" s="48"/>
      <c r="G258" s="48"/>
      <c r="H258" s="48" t="s">
        <v>19</v>
      </c>
      <c r="I258" s="48" t="s">
        <v>24</v>
      </c>
      <c r="J258" s="48" t="s">
        <v>18</v>
      </c>
      <c r="K258" s="48" t="s">
        <v>18</v>
      </c>
      <c r="L258" s="48" t="s">
        <v>20</v>
      </c>
      <c r="M258" s="48" t="s">
        <v>18</v>
      </c>
      <c r="N258" s="48" t="s">
        <v>18</v>
      </c>
      <c r="O258" s="48" t="s">
        <v>18</v>
      </c>
      <c r="P258" s="48" t="s">
        <v>18</v>
      </c>
      <c r="Q258" s="48" t="s">
        <v>18</v>
      </c>
      <c r="R258" s="66" t="s">
        <v>129</v>
      </c>
      <c r="S258" s="52" t="s">
        <v>0</v>
      </c>
      <c r="T258" s="53">
        <f t="shared" ref="T258:Y258" si="91">T261+T308+T446+T351+T459</f>
        <v>22266.699999999997</v>
      </c>
      <c r="U258" s="53">
        <f t="shared" si="91"/>
        <v>22466.400000000001</v>
      </c>
      <c r="V258" s="53">
        <f t="shared" si="91"/>
        <v>7085.3</v>
      </c>
      <c r="W258" s="53">
        <f t="shared" si="91"/>
        <v>17341.099999999999</v>
      </c>
      <c r="X258" s="53">
        <f t="shared" si="91"/>
        <v>10595.699999999999</v>
      </c>
      <c r="Y258" s="53">
        <f t="shared" si="91"/>
        <v>17924.5</v>
      </c>
      <c r="Z258" s="53">
        <f t="shared" ref="Z258" si="92">Z261+Z308+Z446+Z351+Z459</f>
        <v>40904.700000000004</v>
      </c>
      <c r="AA258" s="53">
        <f>SUM(T258:Z258)</f>
        <v>138584.4</v>
      </c>
      <c r="AB258" s="52">
        <v>2024</v>
      </c>
      <c r="AC258" s="34"/>
      <c r="AD258" s="88"/>
      <c r="AE258" s="88"/>
    </row>
    <row r="259" spans="1:31" ht="31.5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69" t="s">
        <v>175</v>
      </c>
      <c r="S259" s="55" t="s">
        <v>50</v>
      </c>
      <c r="T259" s="3">
        <f>T318+T363+T456</f>
        <v>4.4000000000000004</v>
      </c>
      <c r="U259" s="3">
        <f>U318+U363+U456+U271</f>
        <v>4</v>
      </c>
      <c r="V259" s="3">
        <f>V318+V363+V456+V271</f>
        <v>1.7000000000000002</v>
      </c>
      <c r="W259" s="3">
        <f>W318+W363+W456+W271</f>
        <v>4.6000000000000005</v>
      </c>
      <c r="X259" s="3">
        <f>X318+X363+X456+X271</f>
        <v>2.7</v>
      </c>
      <c r="Y259" s="3">
        <f>Y318+Y363+Y456+Y271+Y460</f>
        <v>4.5999999999999996</v>
      </c>
      <c r="Z259" s="3">
        <f>Z318+Z363+Z456+Z271+Z460</f>
        <v>9.6</v>
      </c>
      <c r="AA259" s="6">
        <f>SUM(T259:Z259)</f>
        <v>31.6</v>
      </c>
      <c r="AB259" s="37">
        <v>2024</v>
      </c>
      <c r="AC259" s="9"/>
      <c r="AD259" s="88"/>
      <c r="AE259" s="88"/>
    </row>
    <row r="260" spans="1:31" ht="31.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69" t="s">
        <v>172</v>
      </c>
      <c r="S260" s="37" t="s">
        <v>48</v>
      </c>
      <c r="T260" s="40">
        <f t="shared" ref="T260:W260" si="93">T272+T319+T364+T458</f>
        <v>30</v>
      </c>
      <c r="U260" s="40">
        <f t="shared" si="93"/>
        <v>22</v>
      </c>
      <c r="V260" s="40">
        <f t="shared" si="93"/>
        <v>7</v>
      </c>
      <c r="W260" s="40">
        <f t="shared" si="93"/>
        <v>15</v>
      </c>
      <c r="X260" s="40">
        <f>X272+X319+X364+X458</f>
        <v>6</v>
      </c>
      <c r="Y260" s="40">
        <f>Y272+Y319+Y364+Y458+Y461</f>
        <v>8</v>
      </c>
      <c r="Z260" s="40">
        <f>Z272+Z319+Z364+Z458+Z461</f>
        <v>12</v>
      </c>
      <c r="AA260" s="43">
        <f>SUM(T260:Z260)</f>
        <v>100</v>
      </c>
      <c r="AB260" s="37">
        <v>2024</v>
      </c>
      <c r="AC260" s="9"/>
      <c r="AD260" s="88"/>
      <c r="AE260" s="88"/>
    </row>
    <row r="261" spans="1:31" x14ac:dyDescent="0.25">
      <c r="A261" s="48" t="s">
        <v>18</v>
      </c>
      <c r="B261" s="48" t="s">
        <v>18</v>
      </c>
      <c r="C261" s="48" t="s">
        <v>22</v>
      </c>
      <c r="D261" s="48" t="s">
        <v>18</v>
      </c>
      <c r="E261" s="48" t="s">
        <v>18</v>
      </c>
      <c r="F261" s="48" t="s">
        <v>18</v>
      </c>
      <c r="G261" s="48" t="s">
        <v>18</v>
      </c>
      <c r="H261" s="48" t="s">
        <v>19</v>
      </c>
      <c r="I261" s="48" t="s">
        <v>24</v>
      </c>
      <c r="J261" s="48" t="s">
        <v>18</v>
      </c>
      <c r="K261" s="48" t="s">
        <v>18</v>
      </c>
      <c r="L261" s="48" t="s">
        <v>20</v>
      </c>
      <c r="M261" s="48" t="s">
        <v>18</v>
      </c>
      <c r="N261" s="48" t="s">
        <v>18</v>
      </c>
      <c r="O261" s="48" t="s">
        <v>18</v>
      </c>
      <c r="P261" s="48" t="s">
        <v>18</v>
      </c>
      <c r="Q261" s="48" t="s">
        <v>18</v>
      </c>
      <c r="R261" s="160" t="s">
        <v>129</v>
      </c>
      <c r="S261" s="164" t="s">
        <v>0</v>
      </c>
      <c r="T261" s="53">
        <f t="shared" ref="T261:V261" si="94">SUM(T262:T266)</f>
        <v>2922.6</v>
      </c>
      <c r="U261" s="53">
        <f t="shared" si="94"/>
        <v>6574.9</v>
      </c>
      <c r="V261" s="53">
        <f t="shared" si="94"/>
        <v>3964.5</v>
      </c>
      <c r="W261" s="53">
        <f>SUM(W262:W269)</f>
        <v>1826.6</v>
      </c>
      <c r="X261" s="53">
        <f>SUM(X262:X269)</f>
        <v>5603</v>
      </c>
      <c r="Y261" s="53">
        <f t="shared" ref="Y261:Z261" si="95">SUM(Y262:Y269)</f>
        <v>395</v>
      </c>
      <c r="Z261" s="53">
        <f t="shared" si="95"/>
        <v>2123.1</v>
      </c>
      <c r="AA261" s="53">
        <f>SUM(T261:Z261)</f>
        <v>23409.699999999997</v>
      </c>
      <c r="AB261" s="52">
        <v>2023</v>
      </c>
      <c r="AC261" s="111"/>
      <c r="AD261" s="88"/>
      <c r="AE261" s="88"/>
    </row>
    <row r="262" spans="1:31" x14ac:dyDescent="0.25">
      <c r="A262" s="48" t="s">
        <v>18</v>
      </c>
      <c r="B262" s="48" t="s">
        <v>18</v>
      </c>
      <c r="C262" s="48" t="s">
        <v>22</v>
      </c>
      <c r="D262" s="48" t="s">
        <v>18</v>
      </c>
      <c r="E262" s="48" t="s">
        <v>18</v>
      </c>
      <c r="F262" s="48" t="s">
        <v>18</v>
      </c>
      <c r="G262" s="48" t="s">
        <v>18</v>
      </c>
      <c r="H262" s="48" t="s">
        <v>19</v>
      </c>
      <c r="I262" s="48" t="s">
        <v>24</v>
      </c>
      <c r="J262" s="48" t="s">
        <v>18</v>
      </c>
      <c r="K262" s="48" t="s">
        <v>18</v>
      </c>
      <c r="L262" s="48" t="s">
        <v>20</v>
      </c>
      <c r="M262" s="48" t="s">
        <v>19</v>
      </c>
      <c r="N262" s="48" t="s">
        <v>18</v>
      </c>
      <c r="O262" s="48" t="s">
        <v>24</v>
      </c>
      <c r="P262" s="48" t="s">
        <v>22</v>
      </c>
      <c r="Q262" s="48" t="s">
        <v>43</v>
      </c>
      <c r="R262" s="161"/>
      <c r="S262" s="165"/>
      <c r="T262" s="1">
        <f>T274+T279+T284+T290+T296+T303</f>
        <v>1229.5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3">
        <f t="shared" ref="AA262:AA268" si="96">SUM(T262:Z262)</f>
        <v>1229.5</v>
      </c>
      <c r="AB262" s="52">
        <v>2018</v>
      </c>
      <c r="AC262" s="111"/>
      <c r="AD262" s="88"/>
      <c r="AE262" s="88"/>
    </row>
    <row r="263" spans="1:31" x14ac:dyDescent="0.25">
      <c r="A263" s="48" t="s">
        <v>18</v>
      </c>
      <c r="B263" s="48" t="s">
        <v>18</v>
      </c>
      <c r="C263" s="48" t="s">
        <v>22</v>
      </c>
      <c r="D263" s="48" t="s">
        <v>18</v>
      </c>
      <c r="E263" s="48" t="s">
        <v>18</v>
      </c>
      <c r="F263" s="48" t="s">
        <v>18</v>
      </c>
      <c r="G263" s="48" t="s">
        <v>18</v>
      </c>
      <c r="H263" s="48" t="s">
        <v>19</v>
      </c>
      <c r="I263" s="48" t="s">
        <v>24</v>
      </c>
      <c r="J263" s="48" t="s">
        <v>18</v>
      </c>
      <c r="K263" s="48" t="s">
        <v>18</v>
      </c>
      <c r="L263" s="48" t="s">
        <v>20</v>
      </c>
      <c r="M263" s="48" t="s">
        <v>36</v>
      </c>
      <c r="N263" s="48" t="s">
        <v>18</v>
      </c>
      <c r="O263" s="48" t="s">
        <v>24</v>
      </c>
      <c r="P263" s="48" t="s">
        <v>22</v>
      </c>
      <c r="Q263" s="48" t="s">
        <v>38</v>
      </c>
      <c r="R263" s="161"/>
      <c r="S263" s="165"/>
      <c r="T263" s="1">
        <v>1046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3">
        <f t="shared" si="96"/>
        <v>1046</v>
      </c>
      <c r="AB263" s="52">
        <v>2018</v>
      </c>
      <c r="AC263" s="111"/>
      <c r="AD263" s="88"/>
      <c r="AE263" s="88"/>
    </row>
    <row r="264" spans="1:31" x14ac:dyDescent="0.25">
      <c r="A264" s="48" t="s">
        <v>18</v>
      </c>
      <c r="B264" s="48" t="s">
        <v>18</v>
      </c>
      <c r="C264" s="48" t="s">
        <v>22</v>
      </c>
      <c r="D264" s="48" t="s">
        <v>18</v>
      </c>
      <c r="E264" s="48" t="s">
        <v>18</v>
      </c>
      <c r="F264" s="48" t="s">
        <v>18</v>
      </c>
      <c r="G264" s="48" t="s">
        <v>18</v>
      </c>
      <c r="H264" s="48" t="s">
        <v>19</v>
      </c>
      <c r="I264" s="48" t="s">
        <v>24</v>
      </c>
      <c r="J264" s="48" t="s">
        <v>18</v>
      </c>
      <c r="K264" s="48" t="s">
        <v>18</v>
      </c>
      <c r="L264" s="48" t="s">
        <v>20</v>
      </c>
      <c r="M264" s="48" t="s">
        <v>36</v>
      </c>
      <c r="N264" s="48" t="s">
        <v>18</v>
      </c>
      <c r="O264" s="48" t="s">
        <v>24</v>
      </c>
      <c r="P264" s="48" t="s">
        <v>22</v>
      </c>
      <c r="Q264" s="48" t="s">
        <v>44</v>
      </c>
      <c r="R264" s="161"/>
      <c r="S264" s="165"/>
      <c r="T264" s="1">
        <v>647.1</v>
      </c>
      <c r="U264" s="1">
        <v>1329.9</v>
      </c>
      <c r="V264" s="1">
        <v>949.3</v>
      </c>
      <c r="W264" s="1">
        <v>0</v>
      </c>
      <c r="X264" s="1">
        <v>0</v>
      </c>
      <c r="Y264" s="1">
        <v>0</v>
      </c>
      <c r="Z264" s="1">
        <v>0</v>
      </c>
      <c r="AA264" s="53">
        <f t="shared" si="96"/>
        <v>2926.3</v>
      </c>
      <c r="AB264" s="52">
        <v>2020</v>
      </c>
      <c r="AC264" s="111"/>
      <c r="AD264" s="88"/>
      <c r="AE264" s="88"/>
    </row>
    <row r="265" spans="1:31" x14ac:dyDescent="0.25">
      <c r="A265" s="48" t="s">
        <v>18</v>
      </c>
      <c r="B265" s="48" t="s">
        <v>18</v>
      </c>
      <c r="C265" s="48" t="s">
        <v>22</v>
      </c>
      <c r="D265" s="48" t="s">
        <v>18</v>
      </c>
      <c r="E265" s="48" t="s">
        <v>18</v>
      </c>
      <c r="F265" s="48" t="s">
        <v>18</v>
      </c>
      <c r="G265" s="48" t="s">
        <v>18</v>
      </c>
      <c r="H265" s="48" t="s">
        <v>19</v>
      </c>
      <c r="I265" s="48" t="s">
        <v>24</v>
      </c>
      <c r="J265" s="48" t="s">
        <v>18</v>
      </c>
      <c r="K265" s="48" t="s">
        <v>18</v>
      </c>
      <c r="L265" s="48" t="s">
        <v>20</v>
      </c>
      <c r="M265" s="48" t="s">
        <v>19</v>
      </c>
      <c r="N265" s="48" t="s">
        <v>18</v>
      </c>
      <c r="O265" s="48" t="s">
        <v>24</v>
      </c>
      <c r="P265" s="48" t="s">
        <v>22</v>
      </c>
      <c r="Q265" s="48" t="s">
        <v>18</v>
      </c>
      <c r="R265" s="161"/>
      <c r="S265" s="165"/>
      <c r="T265" s="1">
        <v>0</v>
      </c>
      <c r="U265" s="1">
        <f>2901-2.9</f>
        <v>2898.1</v>
      </c>
      <c r="V265" s="1">
        <f>1721.3-1721.3</f>
        <v>0</v>
      </c>
      <c r="W265" s="1">
        <v>0</v>
      </c>
      <c r="X265" s="1">
        <v>0</v>
      </c>
      <c r="Y265" s="1">
        <v>0</v>
      </c>
      <c r="Z265" s="1">
        <v>0</v>
      </c>
      <c r="AA265" s="53">
        <f t="shared" si="96"/>
        <v>2898.1</v>
      </c>
      <c r="AB265" s="52">
        <v>2019</v>
      </c>
      <c r="AC265" s="111"/>
      <c r="AD265" s="88"/>
      <c r="AE265" s="88"/>
    </row>
    <row r="266" spans="1:31" x14ac:dyDescent="0.25">
      <c r="A266" s="48" t="s">
        <v>18</v>
      </c>
      <c r="B266" s="48" t="s">
        <v>18</v>
      </c>
      <c r="C266" s="48" t="s">
        <v>22</v>
      </c>
      <c r="D266" s="48" t="s">
        <v>18</v>
      </c>
      <c r="E266" s="48" t="s">
        <v>18</v>
      </c>
      <c r="F266" s="48" t="s">
        <v>18</v>
      </c>
      <c r="G266" s="48" t="s">
        <v>18</v>
      </c>
      <c r="H266" s="48" t="s">
        <v>19</v>
      </c>
      <c r="I266" s="48" t="s">
        <v>24</v>
      </c>
      <c r="J266" s="48" t="s">
        <v>18</v>
      </c>
      <c r="K266" s="48" t="s">
        <v>18</v>
      </c>
      <c r="L266" s="48" t="s">
        <v>20</v>
      </c>
      <c r="M266" s="48" t="s">
        <v>36</v>
      </c>
      <c r="N266" s="48" t="s">
        <v>18</v>
      </c>
      <c r="O266" s="48" t="s">
        <v>24</v>
      </c>
      <c r="P266" s="48" t="s">
        <v>22</v>
      </c>
      <c r="Q266" s="48" t="s">
        <v>18</v>
      </c>
      <c r="R266" s="161"/>
      <c r="S266" s="165"/>
      <c r="T266" s="1">
        <v>0</v>
      </c>
      <c r="U266" s="1">
        <f>2375.1-28.2</f>
        <v>2346.9</v>
      </c>
      <c r="V266" s="1">
        <f>1518.9+1643.8-147.5</f>
        <v>3015.2</v>
      </c>
      <c r="W266" s="1">
        <v>0</v>
      </c>
      <c r="X266" s="1">
        <v>0</v>
      </c>
      <c r="Y266" s="1">
        <v>0</v>
      </c>
      <c r="Z266" s="1">
        <v>0</v>
      </c>
      <c r="AA266" s="53">
        <f t="shared" si="96"/>
        <v>5362.1</v>
      </c>
      <c r="AB266" s="52">
        <v>2020</v>
      </c>
      <c r="AC266" s="111"/>
      <c r="AD266" s="88"/>
      <c r="AE266" s="88"/>
    </row>
    <row r="267" spans="1:31" x14ac:dyDescent="0.25">
      <c r="A267" s="48" t="s">
        <v>18</v>
      </c>
      <c r="B267" s="48" t="s">
        <v>18</v>
      </c>
      <c r="C267" s="48" t="s">
        <v>22</v>
      </c>
      <c r="D267" s="48" t="s">
        <v>18</v>
      </c>
      <c r="E267" s="48" t="s">
        <v>18</v>
      </c>
      <c r="F267" s="48" t="s">
        <v>18</v>
      </c>
      <c r="G267" s="48" t="s">
        <v>18</v>
      </c>
      <c r="H267" s="48" t="s">
        <v>19</v>
      </c>
      <c r="I267" s="48" t="s">
        <v>24</v>
      </c>
      <c r="J267" s="48" t="s">
        <v>18</v>
      </c>
      <c r="K267" s="48" t="s">
        <v>18</v>
      </c>
      <c r="L267" s="48" t="s">
        <v>20</v>
      </c>
      <c r="M267" s="48" t="s">
        <v>36</v>
      </c>
      <c r="N267" s="48" t="s">
        <v>42</v>
      </c>
      <c r="O267" s="48" t="s">
        <v>18</v>
      </c>
      <c r="P267" s="48" t="s">
        <v>18</v>
      </c>
      <c r="Q267" s="48" t="s">
        <v>18</v>
      </c>
      <c r="R267" s="161"/>
      <c r="S267" s="165"/>
      <c r="T267" s="1">
        <v>0</v>
      </c>
      <c r="U267" s="1">
        <v>0</v>
      </c>
      <c r="V267" s="1">
        <v>0</v>
      </c>
      <c r="W267" s="1">
        <f>600-33</f>
        <v>567</v>
      </c>
      <c r="X267" s="1">
        <f>1357.3+316-31.9</f>
        <v>1641.3999999999999</v>
      </c>
      <c r="Y267" s="1">
        <v>38.5</v>
      </c>
      <c r="Z267" s="1">
        <v>30</v>
      </c>
      <c r="AA267" s="53">
        <f t="shared" si="96"/>
        <v>2276.8999999999996</v>
      </c>
      <c r="AB267" s="52">
        <v>2024</v>
      </c>
      <c r="AC267" s="111"/>
      <c r="AD267" s="88"/>
      <c r="AE267" s="88"/>
    </row>
    <row r="268" spans="1:31" x14ac:dyDescent="0.25">
      <c r="A268" s="48" t="s">
        <v>18</v>
      </c>
      <c r="B268" s="48" t="s">
        <v>18</v>
      </c>
      <c r="C268" s="48" t="s">
        <v>22</v>
      </c>
      <c r="D268" s="48" t="s">
        <v>18</v>
      </c>
      <c r="E268" s="48" t="s">
        <v>18</v>
      </c>
      <c r="F268" s="48" t="s">
        <v>18</v>
      </c>
      <c r="G268" s="48" t="s">
        <v>18</v>
      </c>
      <c r="H268" s="48" t="s">
        <v>19</v>
      </c>
      <c r="I268" s="48" t="s">
        <v>24</v>
      </c>
      <c r="J268" s="48" t="s">
        <v>18</v>
      </c>
      <c r="K268" s="48" t="s">
        <v>18</v>
      </c>
      <c r="L268" s="48" t="s">
        <v>20</v>
      </c>
      <c r="M268" s="48" t="s">
        <v>19</v>
      </c>
      <c r="N268" s="48" t="s">
        <v>42</v>
      </c>
      <c r="O268" s="48" t="s">
        <v>18</v>
      </c>
      <c r="P268" s="48" t="s">
        <v>18</v>
      </c>
      <c r="Q268" s="48" t="s">
        <v>18</v>
      </c>
      <c r="R268" s="161"/>
      <c r="S268" s="165"/>
      <c r="T268" s="1">
        <v>0</v>
      </c>
      <c r="U268" s="1">
        <v>0</v>
      </c>
      <c r="V268" s="1">
        <v>0</v>
      </c>
      <c r="W268" s="1">
        <v>600</v>
      </c>
      <c r="X268" s="1">
        <v>2659.4</v>
      </c>
      <c r="Y268" s="1">
        <f>335.8-77.4</f>
        <v>258.39999999999998</v>
      </c>
      <c r="Z268" s="1">
        <v>1655.3</v>
      </c>
      <c r="AA268" s="53">
        <f t="shared" si="96"/>
        <v>5173.1000000000004</v>
      </c>
      <c r="AB268" s="52">
        <v>2024</v>
      </c>
      <c r="AC268" s="111"/>
      <c r="AD268" s="88"/>
      <c r="AE268" s="88"/>
    </row>
    <row r="269" spans="1:31" x14ac:dyDescent="0.25">
      <c r="A269" s="48" t="s">
        <v>18</v>
      </c>
      <c r="B269" s="48" t="s">
        <v>18</v>
      </c>
      <c r="C269" s="48" t="s">
        <v>22</v>
      </c>
      <c r="D269" s="48" t="s">
        <v>18</v>
      </c>
      <c r="E269" s="48" t="s">
        <v>18</v>
      </c>
      <c r="F269" s="48" t="s">
        <v>18</v>
      </c>
      <c r="G269" s="48" t="s">
        <v>18</v>
      </c>
      <c r="H269" s="48" t="s">
        <v>19</v>
      </c>
      <c r="I269" s="48" t="s">
        <v>24</v>
      </c>
      <c r="J269" s="48" t="s">
        <v>18</v>
      </c>
      <c r="K269" s="48" t="s">
        <v>18</v>
      </c>
      <c r="L269" s="48" t="s">
        <v>20</v>
      </c>
      <c r="M269" s="48" t="s">
        <v>36</v>
      </c>
      <c r="N269" s="48" t="s">
        <v>42</v>
      </c>
      <c r="O269" s="48" t="s">
        <v>44</v>
      </c>
      <c r="P269" s="48" t="s">
        <v>18</v>
      </c>
      <c r="Q269" s="48" t="s">
        <v>18</v>
      </c>
      <c r="R269" s="162"/>
      <c r="S269" s="166"/>
      <c r="T269" s="1">
        <v>0</v>
      </c>
      <c r="U269" s="1">
        <v>0</v>
      </c>
      <c r="V269" s="1">
        <v>0</v>
      </c>
      <c r="W269" s="1">
        <v>659.6</v>
      </c>
      <c r="X269" s="1">
        <v>1302.2</v>
      </c>
      <c r="Y269" s="1">
        <v>98.1</v>
      </c>
      <c r="Z269" s="1">
        <v>437.8</v>
      </c>
      <c r="AA269" s="53">
        <f>SUM(T269:Z269)</f>
        <v>2497.7000000000003</v>
      </c>
      <c r="AB269" s="52">
        <v>2024</v>
      </c>
      <c r="AC269" s="111"/>
      <c r="AD269" s="88"/>
      <c r="AE269" s="88"/>
    </row>
    <row r="270" spans="1:31" ht="47.25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67" t="s">
        <v>229</v>
      </c>
      <c r="S270" s="55" t="s">
        <v>50</v>
      </c>
      <c r="T270" s="3">
        <v>8.8000000000000007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6">
        <f>SUM(T270:Z270)</f>
        <v>8.8000000000000007</v>
      </c>
      <c r="AB270" s="37">
        <v>2018</v>
      </c>
      <c r="AC270" s="115"/>
      <c r="AD270" s="88"/>
      <c r="AE270" s="88"/>
    </row>
    <row r="271" spans="1:31" ht="31.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67" t="s">
        <v>363</v>
      </c>
      <c r="S271" s="55" t="s">
        <v>50</v>
      </c>
      <c r="T271" s="3">
        <v>0</v>
      </c>
      <c r="U271" s="3">
        <v>1</v>
      </c>
      <c r="V271" s="3">
        <v>1.1000000000000001</v>
      </c>
      <c r="W271" s="3">
        <v>0.9</v>
      </c>
      <c r="X271" s="3">
        <v>1.1000000000000001</v>
      </c>
      <c r="Y271" s="3">
        <v>0</v>
      </c>
      <c r="Z271" s="3">
        <v>0</v>
      </c>
      <c r="AA271" s="6">
        <f t="shared" ref="AA271" si="97">SUM(T271:Z271)</f>
        <v>4.0999999999999996</v>
      </c>
      <c r="AB271" s="37">
        <v>2022</v>
      </c>
      <c r="AC271" s="115"/>
      <c r="AD271" s="88"/>
      <c r="AE271" s="88"/>
    </row>
    <row r="272" spans="1:31" ht="31.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67" t="s">
        <v>272</v>
      </c>
      <c r="S272" s="73" t="s">
        <v>48</v>
      </c>
      <c r="T272" s="40">
        <v>3</v>
      </c>
      <c r="U272" s="40">
        <v>6</v>
      </c>
      <c r="V272" s="40">
        <v>4</v>
      </c>
      <c r="W272" s="40">
        <v>1</v>
      </c>
      <c r="X272" s="40">
        <v>2</v>
      </c>
      <c r="Y272" s="40">
        <v>1</v>
      </c>
      <c r="Z272" s="40">
        <v>1</v>
      </c>
      <c r="AA272" s="43">
        <f>SUM(T272:Z272)</f>
        <v>18</v>
      </c>
      <c r="AB272" s="37">
        <v>2024</v>
      </c>
      <c r="AC272" s="115"/>
      <c r="AD272" s="88"/>
      <c r="AE272" s="88"/>
    </row>
    <row r="273" spans="1:31" ht="15.6" hidden="1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156" t="s">
        <v>176</v>
      </c>
      <c r="S273" s="56" t="s">
        <v>0</v>
      </c>
      <c r="T273" s="1">
        <f>SUM(T274:T276)</f>
        <v>998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53">
        <f t="shared" ref="AA273:AA377" si="98">SUM(T273:Y273)</f>
        <v>998</v>
      </c>
      <c r="AB273" s="52">
        <v>2018</v>
      </c>
      <c r="AC273" s="76"/>
      <c r="AD273" s="88" t="e">
        <f>T274+T279+T284+T290+T296+T303+T321+T327+T332+T337+T342+T347+T366+T372+T379+T386+T393+T400+T407+T414+T421+T428+T434+T440+#REF!+#REF!+#REF!+#REF!+#REF!+#REF!+#REF!+#REF!+#REF!+#REF!+#REF!</f>
        <v>#REF!</v>
      </c>
      <c r="AE273" s="88"/>
    </row>
    <row r="274" spans="1:31" ht="15.6" hidden="1" customHeight="1" x14ac:dyDescent="0.25">
      <c r="A274" s="48" t="s">
        <v>18</v>
      </c>
      <c r="B274" s="48" t="s">
        <v>18</v>
      </c>
      <c r="C274" s="48" t="s">
        <v>22</v>
      </c>
      <c r="D274" s="48" t="s">
        <v>18</v>
      </c>
      <c r="E274" s="48" t="s">
        <v>21</v>
      </c>
      <c r="F274" s="48" t="s">
        <v>18</v>
      </c>
      <c r="G274" s="48" t="s">
        <v>22</v>
      </c>
      <c r="H274" s="48" t="s">
        <v>19</v>
      </c>
      <c r="I274" s="48" t="s">
        <v>24</v>
      </c>
      <c r="J274" s="48" t="s">
        <v>18</v>
      </c>
      <c r="K274" s="48" t="s">
        <v>18</v>
      </c>
      <c r="L274" s="48" t="s">
        <v>20</v>
      </c>
      <c r="M274" s="48" t="s">
        <v>19</v>
      </c>
      <c r="N274" s="48" t="s">
        <v>18</v>
      </c>
      <c r="O274" s="48" t="s">
        <v>24</v>
      </c>
      <c r="P274" s="48" t="s">
        <v>22</v>
      </c>
      <c r="Q274" s="48" t="s">
        <v>43</v>
      </c>
      <c r="R274" s="156"/>
      <c r="S274" s="56" t="s">
        <v>0</v>
      </c>
      <c r="T274" s="1">
        <v>399.2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3">
        <f t="shared" si="98"/>
        <v>399.2</v>
      </c>
      <c r="AB274" s="52">
        <v>2018</v>
      </c>
      <c r="AC274" s="9"/>
      <c r="AD274" s="88" t="e">
        <f>T275+T280+T285+T286+T291+T292+T297+T298+T304+T305+T323+T328+T333+T338+T343+T348+T368+T367+T375+T374+T382+T381+T389+T388+T396+T395+T403+T402+T410+T409+T416+T417+T423+T430+T436+T442+T443+#REF!+#REF!+#REF!+#REF!+#REF!+#REF!+#REF!+#REF!+#REF!+#REF!+#REF!+#REF!+#REF!+#REF!+#REF!+#REF!+#REF!+#REF!+#REF!+#REF!+#REF!+T424</f>
        <v>#REF!</v>
      </c>
      <c r="AE274" s="88"/>
    </row>
    <row r="275" spans="1:31" ht="15.6" hidden="1" customHeight="1" x14ac:dyDescent="0.25">
      <c r="A275" s="48" t="s">
        <v>18</v>
      </c>
      <c r="B275" s="48" t="s">
        <v>18</v>
      </c>
      <c r="C275" s="48" t="s">
        <v>22</v>
      </c>
      <c r="D275" s="48" t="s">
        <v>18</v>
      </c>
      <c r="E275" s="48" t="s">
        <v>21</v>
      </c>
      <c r="F275" s="48" t="s">
        <v>18</v>
      </c>
      <c r="G275" s="48" t="s">
        <v>22</v>
      </c>
      <c r="H275" s="48" t="s">
        <v>19</v>
      </c>
      <c r="I275" s="48" t="s">
        <v>24</v>
      </c>
      <c r="J275" s="48" t="s">
        <v>18</v>
      </c>
      <c r="K275" s="48" t="s">
        <v>18</v>
      </c>
      <c r="L275" s="48" t="s">
        <v>20</v>
      </c>
      <c r="M275" s="48" t="s">
        <v>36</v>
      </c>
      <c r="N275" s="48" t="s">
        <v>18</v>
      </c>
      <c r="O275" s="48" t="s">
        <v>24</v>
      </c>
      <c r="P275" s="48" t="s">
        <v>22</v>
      </c>
      <c r="Q275" s="48" t="s">
        <v>44</v>
      </c>
      <c r="R275" s="156"/>
      <c r="S275" s="56" t="s">
        <v>0</v>
      </c>
      <c r="T275" s="1">
        <v>199.6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3">
        <f t="shared" si="98"/>
        <v>199.6</v>
      </c>
      <c r="AB275" s="52">
        <v>2018</v>
      </c>
      <c r="AC275" s="9"/>
      <c r="AD275" s="88" t="e">
        <f>T276+T281+T287+T293+T299+T306+T324+T329+T334+T339+T344+T349+T369+T376+T383+T390+T397+T404+T411+T418+T425+T431+T437+T444+#REF!+#REF!+#REF!+#REF!+#REF!+#REF!+#REF!+#REF!+#REF!+#REF!+#REF!</f>
        <v>#REF!</v>
      </c>
      <c r="AE275" s="88"/>
    </row>
    <row r="276" spans="1:31" ht="15.6" hidden="1" customHeight="1" x14ac:dyDescent="0.25">
      <c r="A276" s="48" t="s">
        <v>18</v>
      </c>
      <c r="B276" s="48" t="s">
        <v>18</v>
      </c>
      <c r="C276" s="48" t="s">
        <v>22</v>
      </c>
      <c r="D276" s="48" t="s">
        <v>18</v>
      </c>
      <c r="E276" s="48" t="s">
        <v>21</v>
      </c>
      <c r="F276" s="48" t="s">
        <v>18</v>
      </c>
      <c r="G276" s="48" t="s">
        <v>22</v>
      </c>
      <c r="H276" s="48" t="s">
        <v>19</v>
      </c>
      <c r="I276" s="48" t="s">
        <v>24</v>
      </c>
      <c r="J276" s="48" t="s">
        <v>18</v>
      </c>
      <c r="K276" s="48" t="s">
        <v>18</v>
      </c>
      <c r="L276" s="48" t="s">
        <v>20</v>
      </c>
      <c r="M276" s="48" t="s">
        <v>36</v>
      </c>
      <c r="N276" s="48" t="s">
        <v>18</v>
      </c>
      <c r="O276" s="48" t="s">
        <v>24</v>
      </c>
      <c r="P276" s="48" t="s">
        <v>22</v>
      </c>
      <c r="Q276" s="48" t="s">
        <v>38</v>
      </c>
      <c r="R276" s="156"/>
      <c r="S276" s="56" t="s">
        <v>0</v>
      </c>
      <c r="T276" s="1">
        <v>399.2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3">
        <f t="shared" si="98"/>
        <v>399.2</v>
      </c>
      <c r="AB276" s="52">
        <v>2018</v>
      </c>
      <c r="AC276" s="9"/>
      <c r="AD276" s="88">
        <f>T322+T373+T380+T387+T394+T401+T408+T415+T422+T429+T435+T441</f>
        <v>380</v>
      </c>
      <c r="AE276" s="88"/>
    </row>
    <row r="277" spans="1:31" ht="31.15" hidden="1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69" t="s">
        <v>177</v>
      </c>
      <c r="S277" s="73" t="s">
        <v>163</v>
      </c>
      <c r="T277" s="3">
        <v>8750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6">
        <f t="shared" si="98"/>
        <v>8750</v>
      </c>
      <c r="AB277" s="37">
        <v>2018</v>
      </c>
      <c r="AC277" s="9"/>
      <c r="AD277" s="88" t="e">
        <f>SUM(AD273:AD276)</f>
        <v>#REF!</v>
      </c>
      <c r="AE277" s="88"/>
    </row>
    <row r="278" spans="1:31" ht="15.6" hidden="1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156" t="s">
        <v>178</v>
      </c>
      <c r="S278" s="56" t="s">
        <v>0</v>
      </c>
      <c r="T278" s="1">
        <f>SUM(T279:T281)</f>
        <v>150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3">
        <f t="shared" si="98"/>
        <v>150</v>
      </c>
      <c r="AB278" s="52">
        <v>2018</v>
      </c>
      <c r="AC278" s="9"/>
      <c r="AD278" s="88"/>
      <c r="AE278" s="88"/>
    </row>
    <row r="279" spans="1:31" ht="15.6" hidden="1" customHeight="1" x14ac:dyDescent="0.25">
      <c r="A279" s="48" t="s">
        <v>18</v>
      </c>
      <c r="B279" s="48" t="s">
        <v>18</v>
      </c>
      <c r="C279" s="48" t="s">
        <v>22</v>
      </c>
      <c r="D279" s="48" t="s">
        <v>18</v>
      </c>
      <c r="E279" s="48" t="s">
        <v>21</v>
      </c>
      <c r="F279" s="48" t="s">
        <v>18</v>
      </c>
      <c r="G279" s="48" t="s">
        <v>22</v>
      </c>
      <c r="H279" s="48" t="s">
        <v>19</v>
      </c>
      <c r="I279" s="48" t="s">
        <v>24</v>
      </c>
      <c r="J279" s="48" t="s">
        <v>18</v>
      </c>
      <c r="K279" s="48" t="s">
        <v>18</v>
      </c>
      <c r="L279" s="48" t="s">
        <v>20</v>
      </c>
      <c r="M279" s="48" t="s">
        <v>19</v>
      </c>
      <c r="N279" s="48" t="s">
        <v>18</v>
      </c>
      <c r="O279" s="48" t="s">
        <v>24</v>
      </c>
      <c r="P279" s="48" t="s">
        <v>22</v>
      </c>
      <c r="Q279" s="48" t="s">
        <v>43</v>
      </c>
      <c r="R279" s="156"/>
      <c r="S279" s="56" t="s">
        <v>0</v>
      </c>
      <c r="T279" s="1">
        <v>60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53">
        <f t="shared" si="98"/>
        <v>60</v>
      </c>
      <c r="AB279" s="52">
        <v>2018</v>
      </c>
      <c r="AC279" s="9"/>
      <c r="AD279" s="88"/>
      <c r="AE279" s="88"/>
    </row>
    <row r="280" spans="1:31" ht="15.6" hidden="1" customHeight="1" x14ac:dyDescent="0.25">
      <c r="A280" s="48" t="s">
        <v>18</v>
      </c>
      <c r="B280" s="48" t="s">
        <v>18</v>
      </c>
      <c r="C280" s="48" t="s">
        <v>22</v>
      </c>
      <c r="D280" s="48" t="s">
        <v>18</v>
      </c>
      <c r="E280" s="48" t="s">
        <v>21</v>
      </c>
      <c r="F280" s="48" t="s">
        <v>18</v>
      </c>
      <c r="G280" s="48" t="s">
        <v>22</v>
      </c>
      <c r="H280" s="48" t="s">
        <v>19</v>
      </c>
      <c r="I280" s="48" t="s">
        <v>24</v>
      </c>
      <c r="J280" s="48" t="s">
        <v>18</v>
      </c>
      <c r="K280" s="48" t="s">
        <v>18</v>
      </c>
      <c r="L280" s="48" t="s">
        <v>20</v>
      </c>
      <c r="M280" s="48" t="s">
        <v>36</v>
      </c>
      <c r="N280" s="48" t="s">
        <v>18</v>
      </c>
      <c r="O280" s="48" t="s">
        <v>24</v>
      </c>
      <c r="P280" s="48" t="s">
        <v>22</v>
      </c>
      <c r="Q280" s="48" t="s">
        <v>44</v>
      </c>
      <c r="R280" s="156"/>
      <c r="S280" s="56" t="s">
        <v>0</v>
      </c>
      <c r="T280" s="1">
        <v>30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3">
        <f t="shared" si="98"/>
        <v>30</v>
      </c>
      <c r="AB280" s="52">
        <v>2018</v>
      </c>
      <c r="AC280" s="9"/>
      <c r="AD280" s="88"/>
      <c r="AE280" s="88"/>
    </row>
    <row r="281" spans="1:31" ht="15.6" hidden="1" customHeight="1" x14ac:dyDescent="0.25">
      <c r="A281" s="48" t="s">
        <v>18</v>
      </c>
      <c r="B281" s="48" t="s">
        <v>18</v>
      </c>
      <c r="C281" s="48" t="s">
        <v>22</v>
      </c>
      <c r="D281" s="48" t="s">
        <v>18</v>
      </c>
      <c r="E281" s="48" t="s">
        <v>21</v>
      </c>
      <c r="F281" s="48" t="s">
        <v>18</v>
      </c>
      <c r="G281" s="48" t="s">
        <v>22</v>
      </c>
      <c r="H281" s="48" t="s">
        <v>19</v>
      </c>
      <c r="I281" s="48" t="s">
        <v>24</v>
      </c>
      <c r="J281" s="48" t="s">
        <v>18</v>
      </c>
      <c r="K281" s="48" t="s">
        <v>18</v>
      </c>
      <c r="L281" s="48" t="s">
        <v>20</v>
      </c>
      <c r="M281" s="48" t="s">
        <v>36</v>
      </c>
      <c r="N281" s="48" t="s">
        <v>18</v>
      </c>
      <c r="O281" s="48" t="s">
        <v>24</v>
      </c>
      <c r="P281" s="48" t="s">
        <v>22</v>
      </c>
      <c r="Q281" s="48" t="s">
        <v>38</v>
      </c>
      <c r="R281" s="156"/>
      <c r="S281" s="56" t="s">
        <v>0</v>
      </c>
      <c r="T281" s="1">
        <v>60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3">
        <f t="shared" si="98"/>
        <v>60</v>
      </c>
      <c r="AB281" s="52">
        <v>2018</v>
      </c>
      <c r="AC281" s="9"/>
      <c r="AD281" s="88"/>
      <c r="AE281" s="88"/>
    </row>
    <row r="282" spans="1:31" ht="46.9" hidden="1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69" t="s">
        <v>179</v>
      </c>
      <c r="S282" s="73" t="s">
        <v>48</v>
      </c>
      <c r="T282" s="40">
        <v>7</v>
      </c>
      <c r="U282" s="40">
        <v>0</v>
      </c>
      <c r="V282" s="40">
        <v>0</v>
      </c>
      <c r="W282" s="40">
        <v>0</v>
      </c>
      <c r="X282" s="40">
        <v>0</v>
      </c>
      <c r="Y282" s="40">
        <v>0</v>
      </c>
      <c r="Z282" s="40">
        <v>0</v>
      </c>
      <c r="AA282" s="43">
        <f t="shared" si="98"/>
        <v>7</v>
      </c>
      <c r="AB282" s="37">
        <v>2018</v>
      </c>
      <c r="AC282" s="9"/>
      <c r="AD282" s="88"/>
      <c r="AE282" s="88"/>
    </row>
    <row r="283" spans="1:31" ht="15.6" hidden="1" customHeight="1" x14ac:dyDescent="0.2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156" t="s">
        <v>180</v>
      </c>
      <c r="S283" s="56" t="s">
        <v>0</v>
      </c>
      <c r="T283" s="1">
        <f>SUM(T284:T287)</f>
        <v>1031.5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3">
        <f t="shared" si="98"/>
        <v>1031.5</v>
      </c>
      <c r="AB283" s="52">
        <v>2018</v>
      </c>
      <c r="AC283" s="9"/>
      <c r="AD283" s="88"/>
      <c r="AE283" s="88"/>
    </row>
    <row r="284" spans="1:31" ht="15.6" hidden="1" customHeight="1" x14ac:dyDescent="0.25">
      <c r="A284" s="48" t="s">
        <v>18</v>
      </c>
      <c r="B284" s="48" t="s">
        <v>18</v>
      </c>
      <c r="C284" s="48" t="s">
        <v>22</v>
      </c>
      <c r="D284" s="48" t="s">
        <v>18</v>
      </c>
      <c r="E284" s="48" t="s">
        <v>21</v>
      </c>
      <c r="F284" s="48" t="s">
        <v>18</v>
      </c>
      <c r="G284" s="48" t="s">
        <v>22</v>
      </c>
      <c r="H284" s="48" t="s">
        <v>19</v>
      </c>
      <c r="I284" s="48" t="s">
        <v>24</v>
      </c>
      <c r="J284" s="48" t="s">
        <v>18</v>
      </c>
      <c r="K284" s="48" t="s">
        <v>18</v>
      </c>
      <c r="L284" s="48" t="s">
        <v>20</v>
      </c>
      <c r="M284" s="48" t="s">
        <v>19</v>
      </c>
      <c r="N284" s="48" t="s">
        <v>18</v>
      </c>
      <c r="O284" s="48" t="s">
        <v>24</v>
      </c>
      <c r="P284" s="48" t="s">
        <v>22</v>
      </c>
      <c r="Q284" s="48" t="s">
        <v>43</v>
      </c>
      <c r="R284" s="156"/>
      <c r="S284" s="56" t="s">
        <v>0</v>
      </c>
      <c r="T284" s="1">
        <v>400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3">
        <f t="shared" si="98"/>
        <v>400</v>
      </c>
      <c r="AB284" s="52">
        <v>2018</v>
      </c>
      <c r="AC284" s="9"/>
      <c r="AD284" s="88"/>
      <c r="AE284" s="88"/>
    </row>
    <row r="285" spans="1:31" ht="15.6" hidden="1" customHeight="1" x14ac:dyDescent="0.25">
      <c r="A285" s="48" t="s">
        <v>18</v>
      </c>
      <c r="B285" s="48" t="s">
        <v>18</v>
      </c>
      <c r="C285" s="48" t="s">
        <v>22</v>
      </c>
      <c r="D285" s="48" t="s">
        <v>18</v>
      </c>
      <c r="E285" s="48" t="s">
        <v>21</v>
      </c>
      <c r="F285" s="48" t="s">
        <v>18</v>
      </c>
      <c r="G285" s="48" t="s">
        <v>22</v>
      </c>
      <c r="H285" s="48" t="s">
        <v>19</v>
      </c>
      <c r="I285" s="48" t="s">
        <v>24</v>
      </c>
      <c r="J285" s="48" t="s">
        <v>18</v>
      </c>
      <c r="K285" s="48" t="s">
        <v>18</v>
      </c>
      <c r="L285" s="48" t="s">
        <v>20</v>
      </c>
      <c r="M285" s="48" t="s">
        <v>36</v>
      </c>
      <c r="N285" s="48" t="s">
        <v>18</v>
      </c>
      <c r="O285" s="48" t="s">
        <v>24</v>
      </c>
      <c r="P285" s="48" t="s">
        <v>22</v>
      </c>
      <c r="Q285" s="48" t="s">
        <v>44</v>
      </c>
      <c r="R285" s="156"/>
      <c r="S285" s="56" t="s">
        <v>0</v>
      </c>
      <c r="T285" s="1">
        <v>2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3">
        <f t="shared" si="98"/>
        <v>2</v>
      </c>
      <c r="AB285" s="52">
        <v>2018</v>
      </c>
      <c r="AC285" s="9"/>
      <c r="AD285" s="88"/>
      <c r="AE285" s="88"/>
    </row>
    <row r="286" spans="1:31" ht="15.6" hidden="1" customHeight="1" x14ac:dyDescent="0.25">
      <c r="A286" s="48" t="s">
        <v>18</v>
      </c>
      <c r="B286" s="48" t="s">
        <v>18</v>
      </c>
      <c r="C286" s="48" t="s">
        <v>22</v>
      </c>
      <c r="D286" s="48" t="s">
        <v>18</v>
      </c>
      <c r="E286" s="48" t="s">
        <v>21</v>
      </c>
      <c r="F286" s="48" t="s">
        <v>18</v>
      </c>
      <c r="G286" s="48" t="s">
        <v>22</v>
      </c>
      <c r="H286" s="48" t="s">
        <v>19</v>
      </c>
      <c r="I286" s="48" t="s">
        <v>24</v>
      </c>
      <c r="J286" s="48" t="s">
        <v>18</v>
      </c>
      <c r="K286" s="48" t="s">
        <v>18</v>
      </c>
      <c r="L286" s="48" t="s">
        <v>20</v>
      </c>
      <c r="M286" s="48" t="s">
        <v>36</v>
      </c>
      <c r="N286" s="48" t="s">
        <v>18</v>
      </c>
      <c r="O286" s="48" t="s">
        <v>24</v>
      </c>
      <c r="P286" s="48" t="s">
        <v>22</v>
      </c>
      <c r="Q286" s="48" t="s">
        <v>44</v>
      </c>
      <c r="R286" s="156"/>
      <c r="S286" s="56" t="s">
        <v>0</v>
      </c>
      <c r="T286" s="1">
        <v>229.5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3">
        <f t="shared" si="98"/>
        <v>229.5</v>
      </c>
      <c r="AB286" s="52">
        <v>2018</v>
      </c>
      <c r="AC286" s="9"/>
      <c r="AD286" s="88"/>
      <c r="AE286" s="88"/>
    </row>
    <row r="287" spans="1:31" ht="15.6" hidden="1" customHeight="1" x14ac:dyDescent="0.25">
      <c r="A287" s="48" t="s">
        <v>18</v>
      </c>
      <c r="B287" s="48" t="s">
        <v>18</v>
      </c>
      <c r="C287" s="48" t="s">
        <v>22</v>
      </c>
      <c r="D287" s="48" t="s">
        <v>18</v>
      </c>
      <c r="E287" s="48" t="s">
        <v>21</v>
      </c>
      <c r="F287" s="48" t="s">
        <v>18</v>
      </c>
      <c r="G287" s="48" t="s">
        <v>22</v>
      </c>
      <c r="H287" s="48" t="s">
        <v>19</v>
      </c>
      <c r="I287" s="48" t="s">
        <v>24</v>
      </c>
      <c r="J287" s="48" t="s">
        <v>18</v>
      </c>
      <c r="K287" s="48" t="s">
        <v>18</v>
      </c>
      <c r="L287" s="48" t="s">
        <v>20</v>
      </c>
      <c r="M287" s="48" t="s">
        <v>36</v>
      </c>
      <c r="N287" s="48" t="s">
        <v>18</v>
      </c>
      <c r="O287" s="48" t="s">
        <v>24</v>
      </c>
      <c r="P287" s="48" t="s">
        <v>22</v>
      </c>
      <c r="Q287" s="48" t="s">
        <v>38</v>
      </c>
      <c r="R287" s="156"/>
      <c r="S287" s="56" t="s">
        <v>0</v>
      </c>
      <c r="T287" s="1">
        <v>400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3">
        <f t="shared" si="98"/>
        <v>400</v>
      </c>
      <c r="AB287" s="52">
        <v>2018</v>
      </c>
      <c r="AC287" s="9"/>
      <c r="AD287" s="88"/>
      <c r="AE287" s="88"/>
    </row>
    <row r="288" spans="1:31" ht="45.6" hidden="1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69" t="s">
        <v>181</v>
      </c>
      <c r="S288" s="73" t="s">
        <v>48</v>
      </c>
      <c r="T288" s="40">
        <v>44</v>
      </c>
      <c r="U288" s="40">
        <v>0</v>
      </c>
      <c r="V288" s="40">
        <v>0</v>
      </c>
      <c r="W288" s="40">
        <v>0</v>
      </c>
      <c r="X288" s="40">
        <v>0</v>
      </c>
      <c r="Y288" s="40">
        <v>0</v>
      </c>
      <c r="Z288" s="40">
        <v>0</v>
      </c>
      <c r="AA288" s="43">
        <f t="shared" si="98"/>
        <v>44</v>
      </c>
      <c r="AB288" s="37">
        <v>2018</v>
      </c>
      <c r="AC288" s="9"/>
      <c r="AD288" s="88"/>
      <c r="AE288" s="88"/>
    </row>
    <row r="289" spans="1:31" ht="15.6" hidden="1" customHeight="1" x14ac:dyDescent="0.2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156" t="s">
        <v>182</v>
      </c>
      <c r="S289" s="56" t="s">
        <v>0</v>
      </c>
      <c r="T289" s="1">
        <f>SUM(T290:T293)</f>
        <v>613.5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3">
        <f t="shared" si="98"/>
        <v>613.5</v>
      </c>
      <c r="AB289" s="52">
        <v>2018</v>
      </c>
      <c r="AC289" s="9"/>
      <c r="AD289" s="88"/>
      <c r="AE289" s="88"/>
    </row>
    <row r="290" spans="1:31" ht="15.6" hidden="1" customHeight="1" x14ac:dyDescent="0.25">
      <c r="A290" s="48" t="s">
        <v>18</v>
      </c>
      <c r="B290" s="48" t="s">
        <v>18</v>
      </c>
      <c r="C290" s="48" t="s">
        <v>22</v>
      </c>
      <c r="D290" s="48" t="s">
        <v>18</v>
      </c>
      <c r="E290" s="48" t="s">
        <v>21</v>
      </c>
      <c r="F290" s="48" t="s">
        <v>18</v>
      </c>
      <c r="G290" s="48" t="s">
        <v>22</v>
      </c>
      <c r="H290" s="48" t="s">
        <v>19</v>
      </c>
      <c r="I290" s="48" t="s">
        <v>24</v>
      </c>
      <c r="J290" s="48" t="s">
        <v>18</v>
      </c>
      <c r="K290" s="48" t="s">
        <v>18</v>
      </c>
      <c r="L290" s="48" t="s">
        <v>20</v>
      </c>
      <c r="M290" s="48" t="s">
        <v>19</v>
      </c>
      <c r="N290" s="48" t="s">
        <v>18</v>
      </c>
      <c r="O290" s="48" t="s">
        <v>24</v>
      </c>
      <c r="P290" s="48" t="s">
        <v>22</v>
      </c>
      <c r="Q290" s="48" t="s">
        <v>43</v>
      </c>
      <c r="R290" s="156"/>
      <c r="S290" s="56" t="s">
        <v>0</v>
      </c>
      <c r="T290" s="1">
        <v>245.4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3">
        <f t="shared" si="98"/>
        <v>245.4</v>
      </c>
      <c r="AB290" s="52">
        <v>2018</v>
      </c>
      <c r="AC290" s="9"/>
      <c r="AD290" s="88"/>
      <c r="AE290" s="88"/>
    </row>
    <row r="291" spans="1:31" ht="15.6" hidden="1" customHeight="1" x14ac:dyDescent="0.25">
      <c r="A291" s="48" t="s">
        <v>18</v>
      </c>
      <c r="B291" s="48" t="s">
        <v>18</v>
      </c>
      <c r="C291" s="48" t="s">
        <v>22</v>
      </c>
      <c r="D291" s="48" t="s">
        <v>18</v>
      </c>
      <c r="E291" s="48" t="s">
        <v>21</v>
      </c>
      <c r="F291" s="48" t="s">
        <v>18</v>
      </c>
      <c r="G291" s="48" t="s">
        <v>22</v>
      </c>
      <c r="H291" s="48" t="s">
        <v>19</v>
      </c>
      <c r="I291" s="48" t="s">
        <v>24</v>
      </c>
      <c r="J291" s="48" t="s">
        <v>18</v>
      </c>
      <c r="K291" s="48" t="s">
        <v>18</v>
      </c>
      <c r="L291" s="48" t="s">
        <v>20</v>
      </c>
      <c r="M291" s="48" t="s">
        <v>36</v>
      </c>
      <c r="N291" s="48" t="s">
        <v>18</v>
      </c>
      <c r="O291" s="48" t="s">
        <v>24</v>
      </c>
      <c r="P291" s="48" t="s">
        <v>22</v>
      </c>
      <c r="Q291" s="48" t="s">
        <v>44</v>
      </c>
      <c r="R291" s="156"/>
      <c r="S291" s="56" t="s">
        <v>0</v>
      </c>
      <c r="T291" s="1">
        <v>60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3">
        <f t="shared" si="98"/>
        <v>60</v>
      </c>
      <c r="AB291" s="52">
        <v>2018</v>
      </c>
      <c r="AC291" s="9"/>
      <c r="AD291" s="88"/>
      <c r="AE291" s="88"/>
    </row>
    <row r="292" spans="1:31" ht="15.6" hidden="1" customHeight="1" x14ac:dyDescent="0.25">
      <c r="A292" s="48" t="s">
        <v>18</v>
      </c>
      <c r="B292" s="48" t="s">
        <v>18</v>
      </c>
      <c r="C292" s="48" t="s">
        <v>22</v>
      </c>
      <c r="D292" s="48" t="s">
        <v>18</v>
      </c>
      <c r="E292" s="48" t="s">
        <v>21</v>
      </c>
      <c r="F292" s="48" t="s">
        <v>18</v>
      </c>
      <c r="G292" s="48" t="s">
        <v>22</v>
      </c>
      <c r="H292" s="48" t="s">
        <v>19</v>
      </c>
      <c r="I292" s="48" t="s">
        <v>24</v>
      </c>
      <c r="J292" s="48" t="s">
        <v>18</v>
      </c>
      <c r="K292" s="48" t="s">
        <v>18</v>
      </c>
      <c r="L292" s="48" t="s">
        <v>20</v>
      </c>
      <c r="M292" s="48" t="s">
        <v>36</v>
      </c>
      <c r="N292" s="48" t="s">
        <v>18</v>
      </c>
      <c r="O292" s="48" t="s">
        <v>24</v>
      </c>
      <c r="P292" s="48" t="s">
        <v>22</v>
      </c>
      <c r="Q292" s="48" t="s">
        <v>44</v>
      </c>
      <c r="R292" s="156"/>
      <c r="S292" s="56" t="s">
        <v>0</v>
      </c>
      <c r="T292" s="1">
        <v>62.7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3">
        <f t="shared" si="98"/>
        <v>62.7</v>
      </c>
      <c r="AB292" s="52">
        <v>2018</v>
      </c>
      <c r="AC292" s="9"/>
      <c r="AD292" s="88"/>
      <c r="AE292" s="88"/>
    </row>
    <row r="293" spans="1:31" ht="15.6" hidden="1" customHeight="1" x14ac:dyDescent="0.25">
      <c r="A293" s="48" t="s">
        <v>18</v>
      </c>
      <c r="B293" s="48" t="s">
        <v>18</v>
      </c>
      <c r="C293" s="48" t="s">
        <v>22</v>
      </c>
      <c r="D293" s="48" t="s">
        <v>18</v>
      </c>
      <c r="E293" s="48" t="s">
        <v>21</v>
      </c>
      <c r="F293" s="48" t="s">
        <v>18</v>
      </c>
      <c r="G293" s="48" t="s">
        <v>22</v>
      </c>
      <c r="H293" s="48" t="s">
        <v>19</v>
      </c>
      <c r="I293" s="48" t="s">
        <v>24</v>
      </c>
      <c r="J293" s="48" t="s">
        <v>18</v>
      </c>
      <c r="K293" s="48" t="s">
        <v>18</v>
      </c>
      <c r="L293" s="48" t="s">
        <v>20</v>
      </c>
      <c r="M293" s="48" t="s">
        <v>36</v>
      </c>
      <c r="N293" s="48" t="s">
        <v>18</v>
      </c>
      <c r="O293" s="48" t="s">
        <v>24</v>
      </c>
      <c r="P293" s="48" t="s">
        <v>22</v>
      </c>
      <c r="Q293" s="48" t="s">
        <v>38</v>
      </c>
      <c r="R293" s="156"/>
      <c r="S293" s="56" t="s">
        <v>0</v>
      </c>
      <c r="T293" s="1">
        <v>245.4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3">
        <f t="shared" si="98"/>
        <v>245.4</v>
      </c>
      <c r="AB293" s="52">
        <v>2018</v>
      </c>
      <c r="AC293" s="9"/>
      <c r="AD293" s="88"/>
      <c r="AE293" s="88"/>
    </row>
    <row r="294" spans="1:31" ht="46.9" hidden="1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69" t="s">
        <v>183</v>
      </c>
      <c r="S294" s="73" t="s">
        <v>48</v>
      </c>
      <c r="T294" s="40">
        <v>26</v>
      </c>
      <c r="U294" s="40">
        <v>0</v>
      </c>
      <c r="V294" s="40">
        <v>0</v>
      </c>
      <c r="W294" s="40">
        <v>0</v>
      </c>
      <c r="X294" s="40">
        <v>0</v>
      </c>
      <c r="Y294" s="40">
        <v>0</v>
      </c>
      <c r="Z294" s="40">
        <v>0</v>
      </c>
      <c r="AA294" s="43">
        <f t="shared" si="98"/>
        <v>26</v>
      </c>
      <c r="AB294" s="37">
        <v>2018</v>
      </c>
      <c r="AC294" s="9"/>
      <c r="AD294" s="88"/>
      <c r="AE294" s="88"/>
    </row>
    <row r="295" spans="1:31" ht="15.6" hidden="1" customHeight="1" x14ac:dyDescent="0.25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156" t="s">
        <v>184</v>
      </c>
      <c r="S295" s="56" t="s">
        <v>0</v>
      </c>
      <c r="T295" s="1">
        <f>SUM(T296:T299)</f>
        <v>194.7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3">
        <f t="shared" si="98"/>
        <v>194.7</v>
      </c>
      <c r="AB295" s="52">
        <v>2018</v>
      </c>
      <c r="AC295" s="9"/>
      <c r="AD295" s="88"/>
      <c r="AE295" s="88"/>
    </row>
    <row r="296" spans="1:31" ht="15.6" hidden="1" customHeight="1" x14ac:dyDescent="0.25">
      <c r="A296" s="48" t="s">
        <v>18</v>
      </c>
      <c r="B296" s="48" t="s">
        <v>18</v>
      </c>
      <c r="C296" s="48" t="s">
        <v>22</v>
      </c>
      <c r="D296" s="48" t="s">
        <v>18</v>
      </c>
      <c r="E296" s="48" t="s">
        <v>21</v>
      </c>
      <c r="F296" s="48" t="s">
        <v>18</v>
      </c>
      <c r="G296" s="48" t="s">
        <v>22</v>
      </c>
      <c r="H296" s="48" t="s">
        <v>19</v>
      </c>
      <c r="I296" s="48" t="s">
        <v>24</v>
      </c>
      <c r="J296" s="48" t="s">
        <v>18</v>
      </c>
      <c r="K296" s="48" t="s">
        <v>18</v>
      </c>
      <c r="L296" s="48" t="s">
        <v>20</v>
      </c>
      <c r="M296" s="48" t="s">
        <v>19</v>
      </c>
      <c r="N296" s="48" t="s">
        <v>18</v>
      </c>
      <c r="O296" s="48" t="s">
        <v>24</v>
      </c>
      <c r="P296" s="48" t="s">
        <v>22</v>
      </c>
      <c r="Q296" s="48" t="s">
        <v>43</v>
      </c>
      <c r="R296" s="156"/>
      <c r="S296" s="56" t="s">
        <v>0</v>
      </c>
      <c r="T296" s="1">
        <v>77.3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3">
        <f t="shared" si="98"/>
        <v>77.3</v>
      </c>
      <c r="AB296" s="52">
        <v>2018</v>
      </c>
      <c r="AC296" s="9"/>
      <c r="AD296" s="88"/>
      <c r="AE296" s="88"/>
    </row>
    <row r="297" spans="1:31" ht="15.6" hidden="1" customHeight="1" x14ac:dyDescent="0.25">
      <c r="A297" s="48" t="s">
        <v>18</v>
      </c>
      <c r="B297" s="48" t="s">
        <v>18</v>
      </c>
      <c r="C297" s="48" t="s">
        <v>22</v>
      </c>
      <c r="D297" s="48" t="s">
        <v>18</v>
      </c>
      <c r="E297" s="48" t="s">
        <v>21</v>
      </c>
      <c r="F297" s="48" t="s">
        <v>18</v>
      </c>
      <c r="G297" s="48" t="s">
        <v>22</v>
      </c>
      <c r="H297" s="48" t="s">
        <v>19</v>
      </c>
      <c r="I297" s="48" t="s">
        <v>24</v>
      </c>
      <c r="J297" s="48" t="s">
        <v>18</v>
      </c>
      <c r="K297" s="48" t="s">
        <v>18</v>
      </c>
      <c r="L297" s="48" t="s">
        <v>20</v>
      </c>
      <c r="M297" s="48" t="s">
        <v>36</v>
      </c>
      <c r="N297" s="48" t="s">
        <v>18</v>
      </c>
      <c r="O297" s="48" t="s">
        <v>24</v>
      </c>
      <c r="P297" s="48" t="s">
        <v>22</v>
      </c>
      <c r="Q297" s="48" t="s">
        <v>44</v>
      </c>
      <c r="R297" s="156"/>
      <c r="S297" s="56" t="s">
        <v>0</v>
      </c>
      <c r="T297" s="1">
        <v>20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3">
        <f t="shared" si="98"/>
        <v>20</v>
      </c>
      <c r="AB297" s="52">
        <v>2018</v>
      </c>
      <c r="AC297" s="9"/>
      <c r="AD297" s="88"/>
      <c r="AE297" s="88"/>
    </row>
    <row r="298" spans="1:31" ht="15.6" hidden="1" customHeight="1" x14ac:dyDescent="0.25">
      <c r="A298" s="48" t="s">
        <v>18</v>
      </c>
      <c r="B298" s="48" t="s">
        <v>18</v>
      </c>
      <c r="C298" s="48" t="s">
        <v>22</v>
      </c>
      <c r="D298" s="48" t="s">
        <v>18</v>
      </c>
      <c r="E298" s="48" t="s">
        <v>21</v>
      </c>
      <c r="F298" s="48" t="s">
        <v>18</v>
      </c>
      <c r="G298" s="48" t="s">
        <v>22</v>
      </c>
      <c r="H298" s="48" t="s">
        <v>19</v>
      </c>
      <c r="I298" s="48" t="s">
        <v>24</v>
      </c>
      <c r="J298" s="48" t="s">
        <v>18</v>
      </c>
      <c r="K298" s="48" t="s">
        <v>18</v>
      </c>
      <c r="L298" s="48" t="s">
        <v>20</v>
      </c>
      <c r="M298" s="48" t="s">
        <v>36</v>
      </c>
      <c r="N298" s="48" t="s">
        <v>18</v>
      </c>
      <c r="O298" s="48" t="s">
        <v>24</v>
      </c>
      <c r="P298" s="48" t="s">
        <v>22</v>
      </c>
      <c r="Q298" s="48" t="s">
        <v>44</v>
      </c>
      <c r="R298" s="156"/>
      <c r="S298" s="56" t="s">
        <v>0</v>
      </c>
      <c r="T298" s="1">
        <v>19.5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3">
        <f t="shared" si="98"/>
        <v>19.5</v>
      </c>
      <c r="AB298" s="52">
        <v>2018</v>
      </c>
      <c r="AC298" s="9"/>
      <c r="AD298" s="88"/>
      <c r="AE298" s="88"/>
    </row>
    <row r="299" spans="1:31" ht="15.6" hidden="1" customHeight="1" x14ac:dyDescent="0.25">
      <c r="A299" s="48" t="s">
        <v>18</v>
      </c>
      <c r="B299" s="48" t="s">
        <v>18</v>
      </c>
      <c r="C299" s="48" t="s">
        <v>22</v>
      </c>
      <c r="D299" s="48" t="s">
        <v>18</v>
      </c>
      <c r="E299" s="48" t="s">
        <v>21</v>
      </c>
      <c r="F299" s="48" t="s">
        <v>18</v>
      </c>
      <c r="G299" s="48" t="s">
        <v>22</v>
      </c>
      <c r="H299" s="48" t="s">
        <v>19</v>
      </c>
      <c r="I299" s="48" t="s">
        <v>24</v>
      </c>
      <c r="J299" s="48" t="s">
        <v>18</v>
      </c>
      <c r="K299" s="48" t="s">
        <v>18</v>
      </c>
      <c r="L299" s="48" t="s">
        <v>20</v>
      </c>
      <c r="M299" s="48" t="s">
        <v>36</v>
      </c>
      <c r="N299" s="48" t="s">
        <v>18</v>
      </c>
      <c r="O299" s="48" t="s">
        <v>24</v>
      </c>
      <c r="P299" s="48" t="s">
        <v>22</v>
      </c>
      <c r="Q299" s="48" t="s">
        <v>38</v>
      </c>
      <c r="R299" s="156"/>
      <c r="S299" s="56" t="s">
        <v>0</v>
      </c>
      <c r="T299" s="1">
        <v>77.900000000000006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3">
        <f t="shared" si="98"/>
        <v>77.900000000000006</v>
      </c>
      <c r="AB299" s="52">
        <v>2018</v>
      </c>
      <c r="AC299" s="9"/>
      <c r="AD299" s="88"/>
      <c r="AE299" s="88"/>
    </row>
    <row r="300" spans="1:31" s="62" customFormat="1" ht="31.15" hidden="1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69" t="s">
        <v>185</v>
      </c>
      <c r="S300" s="46" t="s">
        <v>48</v>
      </c>
      <c r="T300" s="40">
        <v>1</v>
      </c>
      <c r="U300" s="40">
        <v>0</v>
      </c>
      <c r="V300" s="40">
        <v>0</v>
      </c>
      <c r="W300" s="40">
        <v>0</v>
      </c>
      <c r="X300" s="40">
        <v>0</v>
      </c>
      <c r="Y300" s="40">
        <v>0</v>
      </c>
      <c r="Z300" s="40">
        <v>0</v>
      </c>
      <c r="AA300" s="43">
        <f t="shared" si="98"/>
        <v>1</v>
      </c>
      <c r="AB300" s="37">
        <v>2018</v>
      </c>
      <c r="AC300" s="60"/>
      <c r="AD300" s="74"/>
      <c r="AE300" s="74"/>
    </row>
    <row r="301" spans="1:31" ht="31.15" hidden="1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69" t="s">
        <v>186</v>
      </c>
      <c r="S301" s="73" t="s">
        <v>164</v>
      </c>
      <c r="T301" s="3">
        <v>15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6">
        <f t="shared" si="98"/>
        <v>15</v>
      </c>
      <c r="AB301" s="37">
        <v>2018</v>
      </c>
      <c r="AC301" s="9"/>
      <c r="AD301" s="88"/>
      <c r="AE301" s="88"/>
    </row>
    <row r="302" spans="1:31" ht="15.6" hidden="1" customHeight="1" x14ac:dyDescent="0.25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156" t="s">
        <v>187</v>
      </c>
      <c r="S302" s="56" t="s">
        <v>0</v>
      </c>
      <c r="T302" s="1">
        <f>SUM(T303:T306)</f>
        <v>119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3">
        <f t="shared" si="98"/>
        <v>119</v>
      </c>
      <c r="AB302" s="52">
        <v>2018</v>
      </c>
      <c r="AC302" s="9"/>
      <c r="AD302" s="88"/>
      <c r="AE302" s="88"/>
    </row>
    <row r="303" spans="1:31" ht="15.6" hidden="1" customHeight="1" x14ac:dyDescent="0.25">
      <c r="A303" s="48" t="s">
        <v>18</v>
      </c>
      <c r="B303" s="48" t="s">
        <v>18</v>
      </c>
      <c r="C303" s="48" t="s">
        <v>22</v>
      </c>
      <c r="D303" s="48" t="s">
        <v>18</v>
      </c>
      <c r="E303" s="48" t="s">
        <v>24</v>
      </c>
      <c r="F303" s="48" t="s">
        <v>18</v>
      </c>
      <c r="G303" s="48" t="s">
        <v>42</v>
      </c>
      <c r="H303" s="48" t="s">
        <v>19</v>
      </c>
      <c r="I303" s="48" t="s">
        <v>24</v>
      </c>
      <c r="J303" s="48" t="s">
        <v>18</v>
      </c>
      <c r="K303" s="48" t="s">
        <v>18</v>
      </c>
      <c r="L303" s="48" t="s">
        <v>20</v>
      </c>
      <c r="M303" s="48" t="s">
        <v>19</v>
      </c>
      <c r="N303" s="48" t="s">
        <v>18</v>
      </c>
      <c r="O303" s="48" t="s">
        <v>24</v>
      </c>
      <c r="P303" s="48" t="s">
        <v>22</v>
      </c>
      <c r="Q303" s="48" t="s">
        <v>43</v>
      </c>
      <c r="R303" s="156"/>
      <c r="S303" s="56" t="s">
        <v>0</v>
      </c>
      <c r="T303" s="1">
        <v>47.6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3">
        <f t="shared" si="98"/>
        <v>47.6</v>
      </c>
      <c r="AB303" s="52">
        <v>2018</v>
      </c>
      <c r="AC303" s="9"/>
      <c r="AD303" s="88"/>
      <c r="AE303" s="88"/>
    </row>
    <row r="304" spans="1:31" ht="15.6" hidden="1" customHeight="1" x14ac:dyDescent="0.25">
      <c r="A304" s="48" t="s">
        <v>18</v>
      </c>
      <c r="B304" s="48" t="s">
        <v>18</v>
      </c>
      <c r="C304" s="48" t="s">
        <v>22</v>
      </c>
      <c r="D304" s="48" t="s">
        <v>18</v>
      </c>
      <c r="E304" s="48" t="s">
        <v>24</v>
      </c>
      <c r="F304" s="48" t="s">
        <v>18</v>
      </c>
      <c r="G304" s="48" t="s">
        <v>42</v>
      </c>
      <c r="H304" s="48" t="s">
        <v>19</v>
      </c>
      <c r="I304" s="48" t="s">
        <v>24</v>
      </c>
      <c r="J304" s="48" t="s">
        <v>18</v>
      </c>
      <c r="K304" s="48" t="s">
        <v>18</v>
      </c>
      <c r="L304" s="48" t="s">
        <v>20</v>
      </c>
      <c r="M304" s="48" t="s">
        <v>36</v>
      </c>
      <c r="N304" s="48" t="s">
        <v>18</v>
      </c>
      <c r="O304" s="48" t="s">
        <v>24</v>
      </c>
      <c r="P304" s="48" t="s">
        <v>22</v>
      </c>
      <c r="Q304" s="48" t="s">
        <v>44</v>
      </c>
      <c r="R304" s="156"/>
      <c r="S304" s="56" t="s">
        <v>0</v>
      </c>
      <c r="T304" s="1">
        <v>11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3">
        <f t="shared" si="98"/>
        <v>11</v>
      </c>
      <c r="AB304" s="52">
        <v>2018</v>
      </c>
      <c r="AC304" s="9"/>
      <c r="AD304" s="88"/>
      <c r="AE304" s="88"/>
    </row>
    <row r="305" spans="1:31" ht="15.6" hidden="1" customHeight="1" x14ac:dyDescent="0.25">
      <c r="A305" s="48" t="s">
        <v>18</v>
      </c>
      <c r="B305" s="48" t="s">
        <v>18</v>
      </c>
      <c r="C305" s="48" t="s">
        <v>22</v>
      </c>
      <c r="D305" s="48" t="s">
        <v>18</v>
      </c>
      <c r="E305" s="48" t="s">
        <v>24</v>
      </c>
      <c r="F305" s="48" t="s">
        <v>18</v>
      </c>
      <c r="G305" s="48" t="s">
        <v>42</v>
      </c>
      <c r="H305" s="48" t="s">
        <v>19</v>
      </c>
      <c r="I305" s="48" t="s">
        <v>24</v>
      </c>
      <c r="J305" s="48" t="s">
        <v>18</v>
      </c>
      <c r="K305" s="48" t="s">
        <v>18</v>
      </c>
      <c r="L305" s="48" t="s">
        <v>20</v>
      </c>
      <c r="M305" s="48" t="s">
        <v>36</v>
      </c>
      <c r="N305" s="48" t="s">
        <v>18</v>
      </c>
      <c r="O305" s="48" t="s">
        <v>24</v>
      </c>
      <c r="P305" s="48" t="s">
        <v>22</v>
      </c>
      <c r="Q305" s="48" t="s">
        <v>44</v>
      </c>
      <c r="R305" s="156"/>
      <c r="S305" s="56" t="s">
        <v>0</v>
      </c>
      <c r="T305" s="1">
        <v>12.8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3">
        <f t="shared" si="98"/>
        <v>12.8</v>
      </c>
      <c r="AB305" s="52">
        <v>2018</v>
      </c>
      <c r="AC305" s="9"/>
      <c r="AD305" s="88"/>
      <c r="AE305" s="88"/>
    </row>
    <row r="306" spans="1:31" ht="15.6" hidden="1" customHeight="1" x14ac:dyDescent="0.25">
      <c r="A306" s="48" t="s">
        <v>18</v>
      </c>
      <c r="B306" s="48" t="s">
        <v>18</v>
      </c>
      <c r="C306" s="48" t="s">
        <v>22</v>
      </c>
      <c r="D306" s="48" t="s">
        <v>18</v>
      </c>
      <c r="E306" s="48" t="s">
        <v>24</v>
      </c>
      <c r="F306" s="48" t="s">
        <v>18</v>
      </c>
      <c r="G306" s="48" t="s">
        <v>42</v>
      </c>
      <c r="H306" s="48" t="s">
        <v>19</v>
      </c>
      <c r="I306" s="48" t="s">
        <v>24</v>
      </c>
      <c r="J306" s="48" t="s">
        <v>18</v>
      </c>
      <c r="K306" s="48" t="s">
        <v>18</v>
      </c>
      <c r="L306" s="48" t="s">
        <v>20</v>
      </c>
      <c r="M306" s="48" t="s">
        <v>36</v>
      </c>
      <c r="N306" s="48" t="s">
        <v>18</v>
      </c>
      <c r="O306" s="48" t="s">
        <v>24</v>
      </c>
      <c r="P306" s="48" t="s">
        <v>22</v>
      </c>
      <c r="Q306" s="48" t="s">
        <v>38</v>
      </c>
      <c r="R306" s="156"/>
      <c r="S306" s="56" t="s">
        <v>0</v>
      </c>
      <c r="T306" s="1">
        <v>47.6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3">
        <f t="shared" si="98"/>
        <v>47.6</v>
      </c>
      <c r="AB306" s="52">
        <v>2018</v>
      </c>
      <c r="AC306" s="9"/>
      <c r="AD306" s="88"/>
      <c r="AE306" s="88"/>
    </row>
    <row r="307" spans="1:31" s="62" customFormat="1" ht="46.9" hidden="1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67" t="s">
        <v>188</v>
      </c>
      <c r="S307" s="78" t="s">
        <v>163</v>
      </c>
      <c r="T307" s="3">
        <v>65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43">
        <f t="shared" si="98"/>
        <v>65</v>
      </c>
      <c r="AB307" s="37">
        <v>2018</v>
      </c>
      <c r="AC307" s="60"/>
      <c r="AD307" s="74"/>
      <c r="AE307" s="74"/>
    </row>
    <row r="308" spans="1:31" ht="15.6" customHeight="1" x14ac:dyDescent="0.25">
      <c r="A308" s="48" t="s">
        <v>18</v>
      </c>
      <c r="B308" s="48" t="s">
        <v>18</v>
      </c>
      <c r="C308" s="48" t="s">
        <v>24</v>
      </c>
      <c r="D308" s="48" t="s">
        <v>18</v>
      </c>
      <c r="E308" s="48" t="s">
        <v>18</v>
      </c>
      <c r="F308" s="48" t="s">
        <v>18</v>
      </c>
      <c r="G308" s="48" t="s">
        <v>18</v>
      </c>
      <c r="H308" s="48" t="s">
        <v>19</v>
      </c>
      <c r="I308" s="48" t="s">
        <v>24</v>
      </c>
      <c r="J308" s="48" t="s">
        <v>18</v>
      </c>
      <c r="K308" s="48" t="s">
        <v>18</v>
      </c>
      <c r="L308" s="48" t="s">
        <v>20</v>
      </c>
      <c r="M308" s="48" t="s">
        <v>18</v>
      </c>
      <c r="N308" s="48" t="s">
        <v>18</v>
      </c>
      <c r="O308" s="48" t="s">
        <v>18</v>
      </c>
      <c r="P308" s="48" t="s">
        <v>18</v>
      </c>
      <c r="Q308" s="48" t="s">
        <v>18</v>
      </c>
      <c r="R308" s="160" t="s">
        <v>129</v>
      </c>
      <c r="S308" s="164" t="s">
        <v>0</v>
      </c>
      <c r="T308" s="53">
        <f>SUM(T309:T312)</f>
        <v>3440.1</v>
      </c>
      <c r="U308" s="53">
        <f>SUM(U311:U314)</f>
        <v>3636.2999999999997</v>
      </c>
      <c r="V308" s="53">
        <f>SUM(V309:V314)</f>
        <v>1375.3</v>
      </c>
      <c r="W308" s="53">
        <f>SUM(W309:W317)</f>
        <v>7141.3</v>
      </c>
      <c r="X308" s="53">
        <f t="shared" ref="X308:Z308" si="99">SUM(X309:X317)</f>
        <v>680.7</v>
      </c>
      <c r="Y308" s="53">
        <f t="shared" si="99"/>
        <v>6134.4000000000005</v>
      </c>
      <c r="Z308" s="53">
        <f t="shared" si="99"/>
        <v>6289.2999999999993</v>
      </c>
      <c r="AA308" s="53">
        <f>SUM(T308:Z308)</f>
        <v>28697.4</v>
      </c>
      <c r="AB308" s="52">
        <v>2023</v>
      </c>
      <c r="AC308" s="111"/>
      <c r="AD308" s="88"/>
      <c r="AE308" s="88"/>
    </row>
    <row r="309" spans="1:31" x14ac:dyDescent="0.25">
      <c r="A309" s="48" t="s">
        <v>18</v>
      </c>
      <c r="B309" s="48" t="s">
        <v>18</v>
      </c>
      <c r="C309" s="48" t="s">
        <v>24</v>
      </c>
      <c r="D309" s="48" t="s">
        <v>18</v>
      </c>
      <c r="E309" s="48" t="s">
        <v>18</v>
      </c>
      <c r="F309" s="48" t="s">
        <v>18</v>
      </c>
      <c r="G309" s="48" t="s">
        <v>18</v>
      </c>
      <c r="H309" s="48" t="s">
        <v>19</v>
      </c>
      <c r="I309" s="48" t="s">
        <v>24</v>
      </c>
      <c r="J309" s="48" t="s">
        <v>18</v>
      </c>
      <c r="K309" s="48" t="s">
        <v>18</v>
      </c>
      <c r="L309" s="48" t="s">
        <v>20</v>
      </c>
      <c r="M309" s="48" t="s">
        <v>19</v>
      </c>
      <c r="N309" s="48" t="s">
        <v>18</v>
      </c>
      <c r="O309" s="48" t="s">
        <v>24</v>
      </c>
      <c r="P309" s="48" t="s">
        <v>22</v>
      </c>
      <c r="Q309" s="48" t="s">
        <v>43</v>
      </c>
      <c r="R309" s="161"/>
      <c r="S309" s="165"/>
      <c r="T309" s="1">
        <f>T321+T327+T332+T337+T342+T347</f>
        <v>1609.7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3">
        <f t="shared" ref="AA309:AA317" si="100">SUM(T309:Z309)</f>
        <v>1609.7</v>
      </c>
      <c r="AB309" s="52">
        <v>2018</v>
      </c>
      <c r="AC309" s="111"/>
      <c r="AD309" s="88"/>
      <c r="AE309" s="88"/>
    </row>
    <row r="310" spans="1:31" ht="15.6" hidden="1" customHeight="1" x14ac:dyDescent="0.25">
      <c r="A310" s="48" t="s">
        <v>18</v>
      </c>
      <c r="B310" s="48" t="s">
        <v>18</v>
      </c>
      <c r="C310" s="48" t="s">
        <v>24</v>
      </c>
      <c r="D310" s="48" t="s">
        <v>18</v>
      </c>
      <c r="E310" s="48" t="s">
        <v>18</v>
      </c>
      <c r="F310" s="48" t="s">
        <v>18</v>
      </c>
      <c r="G310" s="48" t="s">
        <v>18</v>
      </c>
      <c r="H310" s="48" t="s">
        <v>19</v>
      </c>
      <c r="I310" s="48" t="s">
        <v>24</v>
      </c>
      <c r="J310" s="48" t="s">
        <v>18</v>
      </c>
      <c r="K310" s="48" t="s">
        <v>18</v>
      </c>
      <c r="L310" s="48" t="s">
        <v>20</v>
      </c>
      <c r="M310" s="48" t="s">
        <v>36</v>
      </c>
      <c r="N310" s="48" t="s">
        <v>18</v>
      </c>
      <c r="O310" s="48" t="s">
        <v>42</v>
      </c>
      <c r="P310" s="48" t="s">
        <v>22</v>
      </c>
      <c r="Q310" s="48" t="s">
        <v>166</v>
      </c>
      <c r="R310" s="161"/>
      <c r="S310" s="165"/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3">
        <f t="shared" si="100"/>
        <v>0</v>
      </c>
      <c r="AB310" s="52">
        <v>2018</v>
      </c>
      <c r="AC310" s="111"/>
      <c r="AD310" s="88"/>
      <c r="AE310" s="88"/>
    </row>
    <row r="311" spans="1:31" x14ac:dyDescent="0.25">
      <c r="A311" s="48" t="s">
        <v>18</v>
      </c>
      <c r="B311" s="48" t="s">
        <v>18</v>
      </c>
      <c r="C311" s="48" t="s">
        <v>24</v>
      </c>
      <c r="D311" s="48" t="s">
        <v>18</v>
      </c>
      <c r="E311" s="48" t="s">
        <v>18</v>
      </c>
      <c r="F311" s="48" t="s">
        <v>18</v>
      </c>
      <c r="G311" s="48" t="s">
        <v>18</v>
      </c>
      <c r="H311" s="48" t="s">
        <v>19</v>
      </c>
      <c r="I311" s="48" t="s">
        <v>24</v>
      </c>
      <c r="J311" s="48" t="s">
        <v>18</v>
      </c>
      <c r="K311" s="48" t="s">
        <v>18</v>
      </c>
      <c r="L311" s="48" t="s">
        <v>20</v>
      </c>
      <c r="M311" s="48" t="s">
        <v>36</v>
      </c>
      <c r="N311" s="48" t="s">
        <v>18</v>
      </c>
      <c r="O311" s="48" t="s">
        <v>24</v>
      </c>
      <c r="P311" s="48" t="s">
        <v>22</v>
      </c>
      <c r="Q311" s="48" t="s">
        <v>44</v>
      </c>
      <c r="R311" s="161"/>
      <c r="S311" s="165"/>
      <c r="T311" s="1">
        <f>T323+T328+T333+T338+T343+T348</f>
        <v>441.79999999999995</v>
      </c>
      <c r="U311" s="1">
        <v>394.2</v>
      </c>
      <c r="V311" s="1">
        <v>235.1</v>
      </c>
      <c r="W311" s="1">
        <v>0</v>
      </c>
      <c r="X311" s="1">
        <v>0</v>
      </c>
      <c r="Y311" s="1">
        <v>0</v>
      </c>
      <c r="Z311" s="1">
        <v>0</v>
      </c>
      <c r="AA311" s="53">
        <f t="shared" si="100"/>
        <v>1071.0999999999999</v>
      </c>
      <c r="AB311" s="52">
        <v>2020</v>
      </c>
      <c r="AC311" s="111"/>
      <c r="AD311" s="88"/>
      <c r="AE311" s="88"/>
    </row>
    <row r="312" spans="1:31" x14ac:dyDescent="0.25">
      <c r="A312" s="48" t="s">
        <v>18</v>
      </c>
      <c r="B312" s="48" t="s">
        <v>18</v>
      </c>
      <c r="C312" s="48" t="s">
        <v>24</v>
      </c>
      <c r="D312" s="48" t="s">
        <v>18</v>
      </c>
      <c r="E312" s="48" t="s">
        <v>18</v>
      </c>
      <c r="F312" s="48" t="s">
        <v>18</v>
      </c>
      <c r="G312" s="48" t="s">
        <v>18</v>
      </c>
      <c r="H312" s="48" t="s">
        <v>19</v>
      </c>
      <c r="I312" s="48" t="s">
        <v>24</v>
      </c>
      <c r="J312" s="48" t="s">
        <v>18</v>
      </c>
      <c r="K312" s="48" t="s">
        <v>18</v>
      </c>
      <c r="L312" s="48" t="s">
        <v>20</v>
      </c>
      <c r="M312" s="48" t="s">
        <v>36</v>
      </c>
      <c r="N312" s="48" t="s">
        <v>18</v>
      </c>
      <c r="O312" s="48" t="s">
        <v>24</v>
      </c>
      <c r="P312" s="48" t="s">
        <v>22</v>
      </c>
      <c r="Q312" s="48" t="s">
        <v>38</v>
      </c>
      <c r="R312" s="161"/>
      <c r="S312" s="165"/>
      <c r="T312" s="1">
        <v>1388.6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3">
        <f t="shared" si="100"/>
        <v>1388.6</v>
      </c>
      <c r="AB312" s="52">
        <v>2018</v>
      </c>
      <c r="AC312" s="111"/>
      <c r="AD312" s="88"/>
      <c r="AE312" s="88"/>
    </row>
    <row r="313" spans="1:31" x14ac:dyDescent="0.25">
      <c r="A313" s="48" t="s">
        <v>18</v>
      </c>
      <c r="B313" s="48" t="s">
        <v>18</v>
      </c>
      <c r="C313" s="48" t="s">
        <v>24</v>
      </c>
      <c r="D313" s="48" t="s">
        <v>18</v>
      </c>
      <c r="E313" s="48" t="s">
        <v>18</v>
      </c>
      <c r="F313" s="48" t="s">
        <v>18</v>
      </c>
      <c r="G313" s="48" t="s">
        <v>18</v>
      </c>
      <c r="H313" s="48" t="s">
        <v>19</v>
      </c>
      <c r="I313" s="48" t="s">
        <v>24</v>
      </c>
      <c r="J313" s="48" t="s">
        <v>18</v>
      </c>
      <c r="K313" s="48" t="s">
        <v>18</v>
      </c>
      <c r="L313" s="48" t="s">
        <v>20</v>
      </c>
      <c r="M313" s="48" t="s">
        <v>19</v>
      </c>
      <c r="N313" s="48" t="s">
        <v>18</v>
      </c>
      <c r="O313" s="48" t="s">
        <v>24</v>
      </c>
      <c r="P313" s="48" t="s">
        <v>22</v>
      </c>
      <c r="Q313" s="48" t="s">
        <v>18</v>
      </c>
      <c r="R313" s="161"/>
      <c r="S313" s="165"/>
      <c r="T313" s="1">
        <v>0</v>
      </c>
      <c r="U313" s="1">
        <f>1865.4-95.4</f>
        <v>1770</v>
      </c>
      <c r="V313" s="1">
        <f>600-600</f>
        <v>0</v>
      </c>
      <c r="W313" s="1">
        <v>0</v>
      </c>
      <c r="X313" s="1">
        <v>0</v>
      </c>
      <c r="Y313" s="1">
        <v>0</v>
      </c>
      <c r="Z313" s="1">
        <v>0</v>
      </c>
      <c r="AA313" s="53">
        <f t="shared" si="100"/>
        <v>1770</v>
      </c>
      <c r="AB313" s="52">
        <v>2019</v>
      </c>
      <c r="AC313" s="111"/>
      <c r="AD313" s="88"/>
      <c r="AE313" s="88"/>
    </row>
    <row r="314" spans="1:31" x14ac:dyDescent="0.25">
      <c r="A314" s="48" t="s">
        <v>18</v>
      </c>
      <c r="B314" s="48" t="s">
        <v>18</v>
      </c>
      <c r="C314" s="48" t="s">
        <v>24</v>
      </c>
      <c r="D314" s="48" t="s">
        <v>18</v>
      </c>
      <c r="E314" s="48" t="s">
        <v>18</v>
      </c>
      <c r="F314" s="48" t="s">
        <v>18</v>
      </c>
      <c r="G314" s="48" t="s">
        <v>18</v>
      </c>
      <c r="H314" s="48" t="s">
        <v>19</v>
      </c>
      <c r="I314" s="48" t="s">
        <v>24</v>
      </c>
      <c r="J314" s="48" t="s">
        <v>18</v>
      </c>
      <c r="K314" s="48" t="s">
        <v>18</v>
      </c>
      <c r="L314" s="48" t="s">
        <v>20</v>
      </c>
      <c r="M314" s="48" t="s">
        <v>36</v>
      </c>
      <c r="N314" s="48" t="s">
        <v>18</v>
      </c>
      <c r="O314" s="48" t="s">
        <v>24</v>
      </c>
      <c r="P314" s="48" t="s">
        <v>22</v>
      </c>
      <c r="Q314" s="48" t="s">
        <v>18</v>
      </c>
      <c r="R314" s="161"/>
      <c r="S314" s="165"/>
      <c r="T314" s="1">
        <v>0</v>
      </c>
      <c r="U314" s="1">
        <v>1472.1</v>
      </c>
      <c r="V314" s="1">
        <f>540.2+600</f>
        <v>1140.2</v>
      </c>
      <c r="W314" s="1">
        <v>0</v>
      </c>
      <c r="X314" s="1">
        <v>0</v>
      </c>
      <c r="Y314" s="1">
        <v>0</v>
      </c>
      <c r="Z314" s="1">
        <v>0</v>
      </c>
      <c r="AA314" s="53">
        <f t="shared" si="100"/>
        <v>2612.3000000000002</v>
      </c>
      <c r="AB314" s="52">
        <v>2020</v>
      </c>
      <c r="AC314" s="111"/>
      <c r="AD314" s="88"/>
      <c r="AE314" s="88"/>
    </row>
    <row r="315" spans="1:31" x14ac:dyDescent="0.25">
      <c r="A315" s="48" t="s">
        <v>18</v>
      </c>
      <c r="B315" s="48" t="s">
        <v>18</v>
      </c>
      <c r="C315" s="48" t="s">
        <v>24</v>
      </c>
      <c r="D315" s="48" t="s">
        <v>18</v>
      </c>
      <c r="E315" s="48" t="s">
        <v>18</v>
      </c>
      <c r="F315" s="48" t="s">
        <v>18</v>
      </c>
      <c r="G315" s="48" t="s">
        <v>18</v>
      </c>
      <c r="H315" s="48" t="s">
        <v>19</v>
      </c>
      <c r="I315" s="48" t="s">
        <v>24</v>
      </c>
      <c r="J315" s="48" t="s">
        <v>18</v>
      </c>
      <c r="K315" s="48" t="s">
        <v>18</v>
      </c>
      <c r="L315" s="48" t="s">
        <v>20</v>
      </c>
      <c r="M315" s="48" t="s">
        <v>36</v>
      </c>
      <c r="N315" s="48" t="s">
        <v>42</v>
      </c>
      <c r="O315" s="48" t="s">
        <v>18</v>
      </c>
      <c r="P315" s="48" t="s">
        <v>18</v>
      </c>
      <c r="Q315" s="48" t="s">
        <v>18</v>
      </c>
      <c r="R315" s="161"/>
      <c r="S315" s="165"/>
      <c r="T315" s="1">
        <v>0</v>
      </c>
      <c r="U315" s="1">
        <v>0</v>
      </c>
      <c r="V315" s="1">
        <v>0</v>
      </c>
      <c r="W315" s="1">
        <v>2000.4</v>
      </c>
      <c r="X315" s="1">
        <f>530.5-229</f>
        <v>301.5</v>
      </c>
      <c r="Y315" s="1">
        <v>2594.6999999999998</v>
      </c>
      <c r="Z315" s="1">
        <v>1165</v>
      </c>
      <c r="AA315" s="53">
        <f t="shared" si="100"/>
        <v>6061.6</v>
      </c>
      <c r="AB315" s="52">
        <v>2024</v>
      </c>
      <c r="AC315" s="111"/>
      <c r="AD315" s="88"/>
      <c r="AE315" s="88"/>
    </row>
    <row r="316" spans="1:31" x14ac:dyDescent="0.25">
      <c r="A316" s="48" t="s">
        <v>18</v>
      </c>
      <c r="B316" s="48" t="s">
        <v>18</v>
      </c>
      <c r="C316" s="48" t="s">
        <v>24</v>
      </c>
      <c r="D316" s="48" t="s">
        <v>18</v>
      </c>
      <c r="E316" s="48" t="s">
        <v>18</v>
      </c>
      <c r="F316" s="48" t="s">
        <v>18</v>
      </c>
      <c r="G316" s="48" t="s">
        <v>18</v>
      </c>
      <c r="H316" s="48" t="s">
        <v>19</v>
      </c>
      <c r="I316" s="48" t="s">
        <v>24</v>
      </c>
      <c r="J316" s="48" t="s">
        <v>18</v>
      </c>
      <c r="K316" s="48" t="s">
        <v>18</v>
      </c>
      <c r="L316" s="48" t="s">
        <v>20</v>
      </c>
      <c r="M316" s="48" t="s">
        <v>19</v>
      </c>
      <c r="N316" s="48" t="s">
        <v>42</v>
      </c>
      <c r="O316" s="48" t="s">
        <v>18</v>
      </c>
      <c r="P316" s="48" t="s">
        <v>18</v>
      </c>
      <c r="Q316" s="48" t="s">
        <v>18</v>
      </c>
      <c r="R316" s="161"/>
      <c r="S316" s="165"/>
      <c r="T316" s="1">
        <v>0</v>
      </c>
      <c r="U316" s="1">
        <v>0</v>
      </c>
      <c r="V316" s="1">
        <v>0</v>
      </c>
      <c r="W316" s="1">
        <v>4045.4</v>
      </c>
      <c r="X316" s="1">
        <v>305.2</v>
      </c>
      <c r="Y316" s="1">
        <f>3000-111.6</f>
        <v>2888.4</v>
      </c>
      <c r="Z316" s="1">
        <v>4402.3999999999996</v>
      </c>
      <c r="AA316" s="53">
        <f t="shared" si="100"/>
        <v>11641.4</v>
      </c>
      <c r="AB316" s="52">
        <v>2024</v>
      </c>
      <c r="AC316" s="111"/>
      <c r="AD316" s="88"/>
      <c r="AE316" s="88"/>
    </row>
    <row r="317" spans="1:31" x14ac:dyDescent="0.25">
      <c r="A317" s="48" t="s">
        <v>18</v>
      </c>
      <c r="B317" s="48" t="s">
        <v>18</v>
      </c>
      <c r="C317" s="48" t="s">
        <v>24</v>
      </c>
      <c r="D317" s="48" t="s">
        <v>18</v>
      </c>
      <c r="E317" s="48" t="s">
        <v>18</v>
      </c>
      <c r="F317" s="48" t="s">
        <v>18</v>
      </c>
      <c r="G317" s="48" t="s">
        <v>18</v>
      </c>
      <c r="H317" s="48" t="s">
        <v>19</v>
      </c>
      <c r="I317" s="48" t="s">
        <v>24</v>
      </c>
      <c r="J317" s="48" t="s">
        <v>18</v>
      </c>
      <c r="K317" s="48" t="s">
        <v>18</v>
      </c>
      <c r="L317" s="48" t="s">
        <v>20</v>
      </c>
      <c r="M317" s="48" t="s">
        <v>36</v>
      </c>
      <c r="N317" s="48" t="s">
        <v>42</v>
      </c>
      <c r="O317" s="48" t="s">
        <v>44</v>
      </c>
      <c r="P317" s="48" t="s">
        <v>18</v>
      </c>
      <c r="Q317" s="48" t="s">
        <v>18</v>
      </c>
      <c r="R317" s="162"/>
      <c r="S317" s="166"/>
      <c r="T317" s="1">
        <v>0</v>
      </c>
      <c r="U317" s="1">
        <v>0</v>
      </c>
      <c r="V317" s="1">
        <v>0</v>
      </c>
      <c r="W317" s="1">
        <v>1095.5</v>
      </c>
      <c r="X317" s="1">
        <v>74</v>
      </c>
      <c r="Y317" s="1">
        <v>651.29999999999995</v>
      </c>
      <c r="Z317" s="1">
        <v>721.9</v>
      </c>
      <c r="AA317" s="53">
        <f t="shared" si="100"/>
        <v>2542.6999999999998</v>
      </c>
      <c r="AB317" s="52">
        <v>2024</v>
      </c>
      <c r="AC317" s="111"/>
      <c r="AD317" s="88"/>
      <c r="AE317" s="88"/>
    </row>
    <row r="318" spans="1:31" ht="31.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69" t="s">
        <v>273</v>
      </c>
      <c r="S318" s="55" t="s">
        <v>50</v>
      </c>
      <c r="T318" s="3">
        <v>0.2</v>
      </c>
      <c r="U318" s="3">
        <v>1.2</v>
      </c>
      <c r="V318" s="3">
        <v>0</v>
      </c>
      <c r="W318" s="3">
        <v>1.1000000000000001</v>
      </c>
      <c r="X318" s="3">
        <v>0</v>
      </c>
      <c r="Y318" s="3">
        <v>0</v>
      </c>
      <c r="Z318" s="3">
        <v>0.7</v>
      </c>
      <c r="AA318" s="6">
        <f t="shared" si="98"/>
        <v>2.5</v>
      </c>
      <c r="AB318" s="37">
        <v>2024</v>
      </c>
      <c r="AC318" s="115"/>
      <c r="AD318" s="88"/>
      <c r="AE318" s="88"/>
    </row>
    <row r="319" spans="1:31" ht="31.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69" t="s">
        <v>274</v>
      </c>
      <c r="S319" s="73" t="s">
        <v>48</v>
      </c>
      <c r="T319" s="40">
        <v>6</v>
      </c>
      <c r="U319" s="40">
        <v>5</v>
      </c>
      <c r="V319" s="40">
        <v>1</v>
      </c>
      <c r="W319" s="40">
        <v>8</v>
      </c>
      <c r="X319" s="40">
        <v>1</v>
      </c>
      <c r="Y319" s="40">
        <v>2</v>
      </c>
      <c r="Z319" s="40">
        <v>2</v>
      </c>
      <c r="AA319" s="43">
        <f t="shared" si="98"/>
        <v>23</v>
      </c>
      <c r="AB319" s="37">
        <v>2024</v>
      </c>
      <c r="AC319" s="115"/>
      <c r="AD319" s="88"/>
      <c r="AE319" s="88"/>
    </row>
    <row r="320" spans="1:31" ht="16.350000000000001" hidden="1" customHeight="1" x14ac:dyDescent="0.25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156" t="s">
        <v>189</v>
      </c>
      <c r="S320" s="56" t="s">
        <v>0</v>
      </c>
      <c r="T320" s="1">
        <f>SUM(T321:T324)</f>
        <v>943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3">
        <f t="shared" si="98"/>
        <v>943</v>
      </c>
      <c r="AB320" s="52">
        <v>2018</v>
      </c>
      <c r="AC320" s="9"/>
      <c r="AD320" s="88"/>
      <c r="AE320" s="88"/>
    </row>
    <row r="321" spans="1:31" ht="16.350000000000001" hidden="1" customHeight="1" x14ac:dyDescent="0.25">
      <c r="A321" s="48" t="s">
        <v>18</v>
      </c>
      <c r="B321" s="48" t="s">
        <v>18</v>
      </c>
      <c r="C321" s="48" t="s">
        <v>24</v>
      </c>
      <c r="D321" s="48" t="s">
        <v>18</v>
      </c>
      <c r="E321" s="48" t="s">
        <v>24</v>
      </c>
      <c r="F321" s="48" t="s">
        <v>18</v>
      </c>
      <c r="G321" s="48" t="s">
        <v>42</v>
      </c>
      <c r="H321" s="48" t="s">
        <v>19</v>
      </c>
      <c r="I321" s="48" t="s">
        <v>24</v>
      </c>
      <c r="J321" s="48" t="s">
        <v>18</v>
      </c>
      <c r="K321" s="48" t="s">
        <v>18</v>
      </c>
      <c r="L321" s="48" t="s">
        <v>20</v>
      </c>
      <c r="M321" s="48" t="s">
        <v>19</v>
      </c>
      <c r="N321" s="48" t="s">
        <v>18</v>
      </c>
      <c r="O321" s="48" t="s">
        <v>24</v>
      </c>
      <c r="P321" s="48" t="s">
        <v>22</v>
      </c>
      <c r="Q321" s="48" t="s">
        <v>43</v>
      </c>
      <c r="R321" s="156"/>
      <c r="S321" s="56" t="s">
        <v>0</v>
      </c>
      <c r="T321" s="1">
        <v>377.2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3">
        <f t="shared" si="98"/>
        <v>377.2</v>
      </c>
      <c r="AB321" s="52">
        <v>2018</v>
      </c>
      <c r="AC321" s="9"/>
      <c r="AD321" s="88"/>
      <c r="AE321" s="88"/>
    </row>
    <row r="322" spans="1:31" ht="16.350000000000001" hidden="1" customHeight="1" x14ac:dyDescent="0.25">
      <c r="A322" s="48" t="s">
        <v>18</v>
      </c>
      <c r="B322" s="48" t="s">
        <v>18</v>
      </c>
      <c r="C322" s="48" t="s">
        <v>24</v>
      </c>
      <c r="D322" s="48" t="s">
        <v>18</v>
      </c>
      <c r="E322" s="48" t="s">
        <v>24</v>
      </c>
      <c r="F322" s="48" t="s">
        <v>18</v>
      </c>
      <c r="G322" s="48" t="s">
        <v>42</v>
      </c>
      <c r="H322" s="48" t="s">
        <v>19</v>
      </c>
      <c r="I322" s="48" t="s">
        <v>24</v>
      </c>
      <c r="J322" s="48" t="s">
        <v>18</v>
      </c>
      <c r="K322" s="48" t="s">
        <v>18</v>
      </c>
      <c r="L322" s="48" t="s">
        <v>20</v>
      </c>
      <c r="M322" s="48" t="s">
        <v>36</v>
      </c>
      <c r="N322" s="48" t="s">
        <v>18</v>
      </c>
      <c r="O322" s="48" t="s">
        <v>42</v>
      </c>
      <c r="P322" s="48" t="s">
        <v>22</v>
      </c>
      <c r="Q322" s="48" t="s">
        <v>166</v>
      </c>
      <c r="R322" s="156"/>
      <c r="S322" s="56" t="s">
        <v>0</v>
      </c>
      <c r="T322" s="1">
        <v>30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3">
        <f t="shared" si="98"/>
        <v>30</v>
      </c>
      <c r="AB322" s="52">
        <v>2018</v>
      </c>
      <c r="AC322" s="9"/>
      <c r="AD322" s="88"/>
      <c r="AE322" s="88"/>
    </row>
    <row r="323" spans="1:31" ht="16.350000000000001" hidden="1" customHeight="1" x14ac:dyDescent="0.25">
      <c r="A323" s="48" t="s">
        <v>18</v>
      </c>
      <c r="B323" s="48" t="s">
        <v>18</v>
      </c>
      <c r="C323" s="48" t="s">
        <v>24</v>
      </c>
      <c r="D323" s="48" t="s">
        <v>18</v>
      </c>
      <c r="E323" s="48" t="s">
        <v>24</v>
      </c>
      <c r="F323" s="48" t="s">
        <v>18</v>
      </c>
      <c r="G323" s="48" t="s">
        <v>42</v>
      </c>
      <c r="H323" s="48" t="s">
        <v>19</v>
      </c>
      <c r="I323" s="48" t="s">
        <v>24</v>
      </c>
      <c r="J323" s="48" t="s">
        <v>18</v>
      </c>
      <c r="K323" s="48" t="s">
        <v>18</v>
      </c>
      <c r="L323" s="48" t="s">
        <v>20</v>
      </c>
      <c r="M323" s="48" t="s">
        <v>36</v>
      </c>
      <c r="N323" s="48" t="s">
        <v>18</v>
      </c>
      <c r="O323" s="48" t="s">
        <v>24</v>
      </c>
      <c r="P323" s="48" t="s">
        <v>22</v>
      </c>
      <c r="Q323" s="48" t="s">
        <v>44</v>
      </c>
      <c r="R323" s="156"/>
      <c r="S323" s="56" t="s">
        <v>0</v>
      </c>
      <c r="T323" s="1">
        <v>113.2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3">
        <f t="shared" si="98"/>
        <v>113.2</v>
      </c>
      <c r="AB323" s="52">
        <v>2018</v>
      </c>
      <c r="AC323" s="9"/>
      <c r="AD323" s="88"/>
      <c r="AE323" s="88"/>
    </row>
    <row r="324" spans="1:31" ht="16.350000000000001" hidden="1" customHeight="1" x14ac:dyDescent="0.25">
      <c r="A324" s="48" t="s">
        <v>18</v>
      </c>
      <c r="B324" s="48" t="s">
        <v>18</v>
      </c>
      <c r="C324" s="48" t="s">
        <v>24</v>
      </c>
      <c r="D324" s="48" t="s">
        <v>18</v>
      </c>
      <c r="E324" s="48" t="s">
        <v>24</v>
      </c>
      <c r="F324" s="48" t="s">
        <v>18</v>
      </c>
      <c r="G324" s="48" t="s">
        <v>42</v>
      </c>
      <c r="H324" s="48" t="s">
        <v>19</v>
      </c>
      <c r="I324" s="48" t="s">
        <v>24</v>
      </c>
      <c r="J324" s="48" t="s">
        <v>18</v>
      </c>
      <c r="K324" s="48" t="s">
        <v>18</v>
      </c>
      <c r="L324" s="48" t="s">
        <v>20</v>
      </c>
      <c r="M324" s="48" t="s">
        <v>36</v>
      </c>
      <c r="N324" s="48" t="s">
        <v>18</v>
      </c>
      <c r="O324" s="48" t="s">
        <v>24</v>
      </c>
      <c r="P324" s="48" t="s">
        <v>22</v>
      </c>
      <c r="Q324" s="48" t="s">
        <v>38</v>
      </c>
      <c r="R324" s="156"/>
      <c r="S324" s="56" t="s">
        <v>0</v>
      </c>
      <c r="T324" s="1">
        <v>422.6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3">
        <f t="shared" si="98"/>
        <v>422.6</v>
      </c>
      <c r="AB324" s="52">
        <v>2018</v>
      </c>
      <c r="AC324" s="9"/>
      <c r="AD324" s="88"/>
      <c r="AE324" s="88"/>
    </row>
    <row r="325" spans="1:31" ht="33.6" hidden="1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77" t="s">
        <v>190</v>
      </c>
      <c r="S325" s="73" t="s">
        <v>163</v>
      </c>
      <c r="T325" s="3">
        <v>1046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6">
        <f t="shared" si="98"/>
        <v>1046</v>
      </c>
      <c r="AB325" s="37">
        <v>2018</v>
      </c>
      <c r="AC325" s="9"/>
      <c r="AD325" s="88"/>
      <c r="AE325" s="88"/>
    </row>
    <row r="326" spans="1:31" ht="21.75" hidden="1" customHeight="1" x14ac:dyDescent="0.25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156" t="s">
        <v>191</v>
      </c>
      <c r="S326" s="56" t="s">
        <v>0</v>
      </c>
      <c r="T326" s="1">
        <f>SUM(T327:T329)</f>
        <v>835.4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3">
        <f>SUM(T326:Y326)</f>
        <v>835.4</v>
      </c>
      <c r="AB326" s="52">
        <v>2018</v>
      </c>
      <c r="AC326" s="9"/>
      <c r="AD326" s="88"/>
      <c r="AE326" s="88"/>
    </row>
    <row r="327" spans="1:31" ht="22.9" hidden="1" customHeight="1" x14ac:dyDescent="0.25">
      <c r="A327" s="48" t="s">
        <v>18</v>
      </c>
      <c r="B327" s="48" t="s">
        <v>18</v>
      </c>
      <c r="C327" s="48" t="s">
        <v>24</v>
      </c>
      <c r="D327" s="48" t="s">
        <v>18</v>
      </c>
      <c r="E327" s="48" t="s">
        <v>21</v>
      </c>
      <c r="F327" s="48" t="s">
        <v>18</v>
      </c>
      <c r="G327" s="48" t="s">
        <v>22</v>
      </c>
      <c r="H327" s="48" t="s">
        <v>19</v>
      </c>
      <c r="I327" s="48" t="s">
        <v>24</v>
      </c>
      <c r="J327" s="48" t="s">
        <v>18</v>
      </c>
      <c r="K327" s="48" t="s">
        <v>18</v>
      </c>
      <c r="L327" s="48" t="s">
        <v>20</v>
      </c>
      <c r="M327" s="48" t="s">
        <v>19</v>
      </c>
      <c r="N327" s="48" t="s">
        <v>18</v>
      </c>
      <c r="O327" s="48" t="s">
        <v>24</v>
      </c>
      <c r="P327" s="48" t="s">
        <v>22</v>
      </c>
      <c r="Q327" s="48" t="s">
        <v>43</v>
      </c>
      <c r="R327" s="156"/>
      <c r="S327" s="56" t="s">
        <v>0</v>
      </c>
      <c r="T327" s="1">
        <v>334.2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3">
        <f>SUM(T327:Y327)</f>
        <v>334.2</v>
      </c>
      <c r="AB327" s="52">
        <v>2018</v>
      </c>
      <c r="AC327" s="9"/>
      <c r="AD327" s="88"/>
      <c r="AE327" s="88"/>
    </row>
    <row r="328" spans="1:31" ht="22.15" hidden="1" customHeight="1" x14ac:dyDescent="0.25">
      <c r="A328" s="48" t="s">
        <v>18</v>
      </c>
      <c r="B328" s="48" t="s">
        <v>18</v>
      </c>
      <c r="C328" s="48" t="s">
        <v>24</v>
      </c>
      <c r="D328" s="48" t="s">
        <v>18</v>
      </c>
      <c r="E328" s="48" t="s">
        <v>21</v>
      </c>
      <c r="F328" s="48" t="s">
        <v>18</v>
      </c>
      <c r="G328" s="48" t="s">
        <v>22</v>
      </c>
      <c r="H328" s="48" t="s">
        <v>19</v>
      </c>
      <c r="I328" s="48" t="s">
        <v>24</v>
      </c>
      <c r="J328" s="48" t="s">
        <v>18</v>
      </c>
      <c r="K328" s="48" t="s">
        <v>18</v>
      </c>
      <c r="L328" s="48" t="s">
        <v>20</v>
      </c>
      <c r="M328" s="48" t="s">
        <v>36</v>
      </c>
      <c r="N328" s="48" t="s">
        <v>18</v>
      </c>
      <c r="O328" s="48" t="s">
        <v>24</v>
      </c>
      <c r="P328" s="48" t="s">
        <v>22</v>
      </c>
      <c r="Q328" s="48" t="s">
        <v>44</v>
      </c>
      <c r="R328" s="156"/>
      <c r="S328" s="56" t="s">
        <v>0</v>
      </c>
      <c r="T328" s="1">
        <v>83.5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3">
        <f>SUM(T328:Y328)</f>
        <v>83.5</v>
      </c>
      <c r="AB328" s="52">
        <v>2018</v>
      </c>
      <c r="AC328" s="9"/>
      <c r="AD328" s="88"/>
      <c r="AE328" s="88"/>
    </row>
    <row r="329" spans="1:31" ht="21.75" hidden="1" customHeight="1" x14ac:dyDescent="0.25">
      <c r="A329" s="48" t="s">
        <v>18</v>
      </c>
      <c r="B329" s="48" t="s">
        <v>18</v>
      </c>
      <c r="C329" s="48" t="s">
        <v>24</v>
      </c>
      <c r="D329" s="48" t="s">
        <v>18</v>
      </c>
      <c r="E329" s="48" t="s">
        <v>21</v>
      </c>
      <c r="F329" s="48" t="s">
        <v>18</v>
      </c>
      <c r="G329" s="48" t="s">
        <v>22</v>
      </c>
      <c r="H329" s="48" t="s">
        <v>19</v>
      </c>
      <c r="I329" s="48" t="s">
        <v>24</v>
      </c>
      <c r="J329" s="48" t="s">
        <v>18</v>
      </c>
      <c r="K329" s="48" t="s">
        <v>18</v>
      </c>
      <c r="L329" s="48" t="s">
        <v>20</v>
      </c>
      <c r="M329" s="48" t="s">
        <v>36</v>
      </c>
      <c r="N329" s="48" t="s">
        <v>18</v>
      </c>
      <c r="O329" s="48" t="s">
        <v>24</v>
      </c>
      <c r="P329" s="48" t="s">
        <v>22</v>
      </c>
      <c r="Q329" s="48" t="s">
        <v>38</v>
      </c>
      <c r="R329" s="156"/>
      <c r="S329" s="56" t="s">
        <v>0</v>
      </c>
      <c r="T329" s="1">
        <v>417.7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3">
        <f>SUM(T329:Y329)</f>
        <v>417.7</v>
      </c>
      <c r="AB329" s="52">
        <v>2018</v>
      </c>
      <c r="AC329" s="9"/>
      <c r="AD329" s="88"/>
      <c r="AE329" s="88"/>
    </row>
    <row r="330" spans="1:31" ht="47.45" hidden="1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77" t="s">
        <v>192</v>
      </c>
      <c r="S330" s="73" t="s">
        <v>8</v>
      </c>
      <c r="T330" s="40">
        <v>1</v>
      </c>
      <c r="U330" s="40">
        <v>0</v>
      </c>
      <c r="V330" s="40">
        <v>0</v>
      </c>
      <c r="W330" s="40">
        <v>0</v>
      </c>
      <c r="X330" s="40">
        <v>0</v>
      </c>
      <c r="Y330" s="40">
        <v>0</v>
      </c>
      <c r="Z330" s="40">
        <v>0</v>
      </c>
      <c r="AA330" s="6">
        <f>SUM(T330:Y330)</f>
        <v>1</v>
      </c>
      <c r="AB330" s="37">
        <v>2018</v>
      </c>
      <c r="AC330" s="9"/>
      <c r="AD330" s="88"/>
      <c r="AE330" s="88"/>
    </row>
    <row r="331" spans="1:31" ht="16.350000000000001" hidden="1" customHeight="1" x14ac:dyDescent="0.25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156" t="s">
        <v>193</v>
      </c>
      <c r="S331" s="56" t="s">
        <v>0</v>
      </c>
      <c r="T331" s="1">
        <f>SUM(T332:T334)</f>
        <v>952.5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3">
        <f t="shared" ref="AA331:AA364" si="101">SUM(T331:Y331)</f>
        <v>952.5</v>
      </c>
      <c r="AB331" s="52">
        <v>2018</v>
      </c>
      <c r="AC331" s="9"/>
      <c r="AD331" s="88"/>
      <c r="AE331" s="88"/>
    </row>
    <row r="332" spans="1:31" ht="16.350000000000001" hidden="1" customHeight="1" x14ac:dyDescent="0.25">
      <c r="A332" s="48" t="s">
        <v>18</v>
      </c>
      <c r="B332" s="48" t="s">
        <v>18</v>
      </c>
      <c r="C332" s="48" t="s">
        <v>24</v>
      </c>
      <c r="D332" s="48" t="s">
        <v>18</v>
      </c>
      <c r="E332" s="48" t="s">
        <v>21</v>
      </c>
      <c r="F332" s="48" t="s">
        <v>18</v>
      </c>
      <c r="G332" s="48" t="s">
        <v>22</v>
      </c>
      <c r="H332" s="48" t="s">
        <v>19</v>
      </c>
      <c r="I332" s="48" t="s">
        <v>24</v>
      </c>
      <c r="J332" s="48" t="s">
        <v>18</v>
      </c>
      <c r="K332" s="48" t="s">
        <v>18</v>
      </c>
      <c r="L332" s="48" t="s">
        <v>20</v>
      </c>
      <c r="M332" s="48" t="s">
        <v>19</v>
      </c>
      <c r="N332" s="48" t="s">
        <v>18</v>
      </c>
      <c r="O332" s="48" t="s">
        <v>24</v>
      </c>
      <c r="P332" s="48" t="s">
        <v>22</v>
      </c>
      <c r="Q332" s="48" t="s">
        <v>43</v>
      </c>
      <c r="R332" s="156"/>
      <c r="S332" s="56" t="s">
        <v>0</v>
      </c>
      <c r="T332" s="1">
        <v>381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3">
        <f t="shared" si="101"/>
        <v>381</v>
      </c>
      <c r="AB332" s="52">
        <v>2018</v>
      </c>
      <c r="AC332" s="9"/>
      <c r="AD332" s="88"/>
      <c r="AE332" s="88"/>
    </row>
    <row r="333" spans="1:31" ht="16.350000000000001" hidden="1" customHeight="1" x14ac:dyDescent="0.25">
      <c r="A333" s="48" t="s">
        <v>18</v>
      </c>
      <c r="B333" s="48" t="s">
        <v>18</v>
      </c>
      <c r="C333" s="48" t="s">
        <v>24</v>
      </c>
      <c r="D333" s="48" t="s">
        <v>18</v>
      </c>
      <c r="E333" s="48" t="s">
        <v>21</v>
      </c>
      <c r="F333" s="48" t="s">
        <v>18</v>
      </c>
      <c r="G333" s="48" t="s">
        <v>22</v>
      </c>
      <c r="H333" s="48" t="s">
        <v>19</v>
      </c>
      <c r="I333" s="48" t="s">
        <v>24</v>
      </c>
      <c r="J333" s="48" t="s">
        <v>18</v>
      </c>
      <c r="K333" s="48" t="s">
        <v>18</v>
      </c>
      <c r="L333" s="48" t="s">
        <v>20</v>
      </c>
      <c r="M333" s="48" t="s">
        <v>36</v>
      </c>
      <c r="N333" s="48" t="s">
        <v>18</v>
      </c>
      <c r="O333" s="48" t="s">
        <v>24</v>
      </c>
      <c r="P333" s="48" t="s">
        <v>22</v>
      </c>
      <c r="Q333" s="48" t="s">
        <v>44</v>
      </c>
      <c r="R333" s="156"/>
      <c r="S333" s="56" t="s">
        <v>0</v>
      </c>
      <c r="T333" s="1">
        <v>114.3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3">
        <f t="shared" si="101"/>
        <v>114.3</v>
      </c>
      <c r="AB333" s="52">
        <v>2018</v>
      </c>
      <c r="AC333" s="9"/>
      <c r="AD333" s="88"/>
      <c r="AE333" s="88"/>
    </row>
    <row r="334" spans="1:31" ht="16.350000000000001" hidden="1" customHeight="1" x14ac:dyDescent="0.25">
      <c r="A334" s="48" t="s">
        <v>18</v>
      </c>
      <c r="B334" s="48" t="s">
        <v>18</v>
      </c>
      <c r="C334" s="48" t="s">
        <v>24</v>
      </c>
      <c r="D334" s="48" t="s">
        <v>18</v>
      </c>
      <c r="E334" s="48" t="s">
        <v>21</v>
      </c>
      <c r="F334" s="48" t="s">
        <v>18</v>
      </c>
      <c r="G334" s="48" t="s">
        <v>22</v>
      </c>
      <c r="H334" s="48" t="s">
        <v>19</v>
      </c>
      <c r="I334" s="48" t="s">
        <v>24</v>
      </c>
      <c r="J334" s="48" t="s">
        <v>18</v>
      </c>
      <c r="K334" s="48" t="s">
        <v>18</v>
      </c>
      <c r="L334" s="48" t="s">
        <v>20</v>
      </c>
      <c r="M334" s="48" t="s">
        <v>36</v>
      </c>
      <c r="N334" s="48" t="s">
        <v>18</v>
      </c>
      <c r="O334" s="48" t="s">
        <v>24</v>
      </c>
      <c r="P334" s="48" t="s">
        <v>22</v>
      </c>
      <c r="Q334" s="48" t="s">
        <v>38</v>
      </c>
      <c r="R334" s="156"/>
      <c r="S334" s="56" t="s">
        <v>0</v>
      </c>
      <c r="T334" s="1">
        <v>457.2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3">
        <f t="shared" si="101"/>
        <v>457.2</v>
      </c>
      <c r="AB334" s="52">
        <v>2018</v>
      </c>
      <c r="AC334" s="9"/>
      <c r="AD334" s="88"/>
      <c r="AE334" s="88"/>
    </row>
    <row r="335" spans="1:31" ht="31.15" hidden="1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69" t="s">
        <v>194</v>
      </c>
      <c r="S335" s="73" t="s">
        <v>163</v>
      </c>
      <c r="T335" s="3">
        <v>151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101"/>
        <v>151</v>
      </c>
      <c r="AB335" s="37">
        <v>2018</v>
      </c>
      <c r="AC335" s="9"/>
      <c r="AD335" s="88"/>
      <c r="AE335" s="88"/>
    </row>
    <row r="336" spans="1:31" ht="15.6" hidden="1" customHeight="1" x14ac:dyDescent="0.25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156" t="s">
        <v>195</v>
      </c>
      <c r="S336" s="56" t="s">
        <v>0</v>
      </c>
      <c r="T336" s="1">
        <f>SUM(T337:T339)</f>
        <v>435.8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3">
        <f t="shared" si="101"/>
        <v>435.8</v>
      </c>
      <c r="AB336" s="52">
        <v>2018</v>
      </c>
      <c r="AC336" s="9"/>
      <c r="AD336" s="88"/>
      <c r="AE336" s="88"/>
    </row>
    <row r="337" spans="1:31" ht="15.6" hidden="1" customHeight="1" x14ac:dyDescent="0.25">
      <c r="A337" s="48" t="s">
        <v>18</v>
      </c>
      <c r="B337" s="48" t="s">
        <v>18</v>
      </c>
      <c r="C337" s="48" t="s">
        <v>24</v>
      </c>
      <c r="D337" s="48" t="s">
        <v>18</v>
      </c>
      <c r="E337" s="48" t="s">
        <v>21</v>
      </c>
      <c r="F337" s="48" t="s">
        <v>18</v>
      </c>
      <c r="G337" s="48" t="s">
        <v>22</v>
      </c>
      <c r="H337" s="48" t="s">
        <v>19</v>
      </c>
      <c r="I337" s="48" t="s">
        <v>24</v>
      </c>
      <c r="J337" s="48" t="s">
        <v>18</v>
      </c>
      <c r="K337" s="48" t="s">
        <v>18</v>
      </c>
      <c r="L337" s="48" t="s">
        <v>20</v>
      </c>
      <c r="M337" s="48" t="s">
        <v>19</v>
      </c>
      <c r="N337" s="48" t="s">
        <v>18</v>
      </c>
      <c r="O337" s="48" t="s">
        <v>24</v>
      </c>
      <c r="P337" s="48" t="s">
        <v>22</v>
      </c>
      <c r="Q337" s="48" t="s">
        <v>43</v>
      </c>
      <c r="R337" s="156"/>
      <c r="S337" s="56" t="s">
        <v>0</v>
      </c>
      <c r="T337" s="1">
        <v>174.3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3">
        <f t="shared" si="101"/>
        <v>174.3</v>
      </c>
      <c r="AB337" s="52">
        <v>2018</v>
      </c>
      <c r="AC337" s="9"/>
      <c r="AD337" s="88"/>
      <c r="AE337" s="88"/>
    </row>
    <row r="338" spans="1:31" ht="15.6" hidden="1" customHeight="1" x14ac:dyDescent="0.25">
      <c r="A338" s="48" t="s">
        <v>18</v>
      </c>
      <c r="B338" s="48" t="s">
        <v>18</v>
      </c>
      <c r="C338" s="48" t="s">
        <v>24</v>
      </c>
      <c r="D338" s="48" t="s">
        <v>18</v>
      </c>
      <c r="E338" s="48" t="s">
        <v>21</v>
      </c>
      <c r="F338" s="48" t="s">
        <v>18</v>
      </c>
      <c r="G338" s="48" t="s">
        <v>22</v>
      </c>
      <c r="H338" s="48" t="s">
        <v>19</v>
      </c>
      <c r="I338" s="48" t="s">
        <v>24</v>
      </c>
      <c r="J338" s="48" t="s">
        <v>18</v>
      </c>
      <c r="K338" s="48" t="s">
        <v>18</v>
      </c>
      <c r="L338" s="48" t="s">
        <v>20</v>
      </c>
      <c r="M338" s="48" t="s">
        <v>36</v>
      </c>
      <c r="N338" s="48" t="s">
        <v>18</v>
      </c>
      <c r="O338" s="48" t="s">
        <v>24</v>
      </c>
      <c r="P338" s="48" t="s">
        <v>22</v>
      </c>
      <c r="Q338" s="48" t="s">
        <v>44</v>
      </c>
      <c r="R338" s="156"/>
      <c r="S338" s="56" t="s">
        <v>0</v>
      </c>
      <c r="T338" s="1">
        <v>45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3">
        <f t="shared" si="101"/>
        <v>45</v>
      </c>
      <c r="AB338" s="52">
        <v>2018</v>
      </c>
      <c r="AC338" s="9"/>
      <c r="AD338" s="88"/>
      <c r="AE338" s="88"/>
    </row>
    <row r="339" spans="1:31" ht="15.6" hidden="1" customHeight="1" x14ac:dyDescent="0.25">
      <c r="A339" s="48" t="s">
        <v>18</v>
      </c>
      <c r="B339" s="48" t="s">
        <v>18</v>
      </c>
      <c r="C339" s="48" t="s">
        <v>24</v>
      </c>
      <c r="D339" s="48" t="s">
        <v>18</v>
      </c>
      <c r="E339" s="48" t="s">
        <v>21</v>
      </c>
      <c r="F339" s="48" t="s">
        <v>18</v>
      </c>
      <c r="G339" s="48" t="s">
        <v>22</v>
      </c>
      <c r="H339" s="48" t="s">
        <v>19</v>
      </c>
      <c r="I339" s="48" t="s">
        <v>24</v>
      </c>
      <c r="J339" s="48" t="s">
        <v>18</v>
      </c>
      <c r="K339" s="48" t="s">
        <v>18</v>
      </c>
      <c r="L339" s="48" t="s">
        <v>20</v>
      </c>
      <c r="M339" s="48" t="s">
        <v>36</v>
      </c>
      <c r="N339" s="48" t="s">
        <v>18</v>
      </c>
      <c r="O339" s="48" t="s">
        <v>24</v>
      </c>
      <c r="P339" s="48" t="s">
        <v>22</v>
      </c>
      <c r="Q339" s="48" t="s">
        <v>38</v>
      </c>
      <c r="R339" s="156"/>
      <c r="S339" s="56" t="s">
        <v>0</v>
      </c>
      <c r="T339" s="1">
        <v>216.5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3">
        <f t="shared" si="101"/>
        <v>216.5</v>
      </c>
      <c r="AB339" s="52">
        <v>2018</v>
      </c>
      <c r="AC339" s="9"/>
      <c r="AD339" s="88"/>
      <c r="AE339" s="88"/>
    </row>
    <row r="340" spans="1:31" ht="46.9" hidden="1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69" t="s">
        <v>196</v>
      </c>
      <c r="S340" s="73" t="s">
        <v>48</v>
      </c>
      <c r="T340" s="40">
        <v>16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  <c r="AA340" s="43">
        <f t="shared" si="101"/>
        <v>16</v>
      </c>
      <c r="AB340" s="37">
        <v>2018</v>
      </c>
      <c r="AC340" s="9"/>
      <c r="AD340" s="88"/>
      <c r="AE340" s="88"/>
    </row>
    <row r="341" spans="1:31" ht="15.6" hidden="1" customHeight="1" x14ac:dyDescent="0.25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156" t="s">
        <v>197</v>
      </c>
      <c r="S341" s="56" t="s">
        <v>0</v>
      </c>
      <c r="T341" s="1">
        <f>SUM(T342:T344)</f>
        <v>349.1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3">
        <f t="shared" si="101"/>
        <v>349.1</v>
      </c>
      <c r="AB341" s="52">
        <v>2018</v>
      </c>
      <c r="AC341" s="9"/>
      <c r="AD341" s="88"/>
      <c r="AE341" s="88"/>
    </row>
    <row r="342" spans="1:31" ht="15.6" hidden="1" customHeight="1" x14ac:dyDescent="0.25">
      <c r="A342" s="48" t="s">
        <v>18</v>
      </c>
      <c r="B342" s="48" t="s">
        <v>18</v>
      </c>
      <c r="C342" s="48" t="s">
        <v>24</v>
      </c>
      <c r="D342" s="48" t="s">
        <v>18</v>
      </c>
      <c r="E342" s="48" t="s">
        <v>21</v>
      </c>
      <c r="F342" s="48" t="s">
        <v>18</v>
      </c>
      <c r="G342" s="48" t="s">
        <v>22</v>
      </c>
      <c r="H342" s="48" t="s">
        <v>19</v>
      </c>
      <c r="I342" s="48" t="s">
        <v>24</v>
      </c>
      <c r="J342" s="48" t="s">
        <v>18</v>
      </c>
      <c r="K342" s="48" t="s">
        <v>18</v>
      </c>
      <c r="L342" s="48" t="s">
        <v>20</v>
      </c>
      <c r="M342" s="48" t="s">
        <v>19</v>
      </c>
      <c r="N342" s="48" t="s">
        <v>18</v>
      </c>
      <c r="O342" s="48" t="s">
        <v>24</v>
      </c>
      <c r="P342" s="48" t="s">
        <v>22</v>
      </c>
      <c r="Q342" s="48" t="s">
        <v>43</v>
      </c>
      <c r="R342" s="156"/>
      <c r="S342" s="56" t="s">
        <v>0</v>
      </c>
      <c r="T342" s="1">
        <v>139.6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3">
        <f t="shared" si="101"/>
        <v>139.6</v>
      </c>
      <c r="AB342" s="52">
        <v>2018</v>
      </c>
      <c r="AC342" s="9"/>
      <c r="AD342" s="88"/>
      <c r="AE342" s="88"/>
    </row>
    <row r="343" spans="1:31" ht="15.6" hidden="1" customHeight="1" x14ac:dyDescent="0.25">
      <c r="A343" s="48" t="s">
        <v>18</v>
      </c>
      <c r="B343" s="48" t="s">
        <v>18</v>
      </c>
      <c r="C343" s="48" t="s">
        <v>24</v>
      </c>
      <c r="D343" s="48" t="s">
        <v>18</v>
      </c>
      <c r="E343" s="48" t="s">
        <v>21</v>
      </c>
      <c r="F343" s="48" t="s">
        <v>18</v>
      </c>
      <c r="G343" s="48" t="s">
        <v>22</v>
      </c>
      <c r="H343" s="48" t="s">
        <v>19</v>
      </c>
      <c r="I343" s="48" t="s">
        <v>24</v>
      </c>
      <c r="J343" s="48" t="s">
        <v>18</v>
      </c>
      <c r="K343" s="48" t="s">
        <v>18</v>
      </c>
      <c r="L343" s="48" t="s">
        <v>20</v>
      </c>
      <c r="M343" s="48" t="s">
        <v>36</v>
      </c>
      <c r="N343" s="48" t="s">
        <v>18</v>
      </c>
      <c r="O343" s="48" t="s">
        <v>24</v>
      </c>
      <c r="P343" s="48" t="s">
        <v>22</v>
      </c>
      <c r="Q343" s="48" t="s">
        <v>44</v>
      </c>
      <c r="R343" s="156"/>
      <c r="S343" s="56" t="s">
        <v>0</v>
      </c>
      <c r="T343" s="1">
        <v>34.9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3">
        <f t="shared" si="101"/>
        <v>34.9</v>
      </c>
      <c r="AB343" s="52">
        <v>2018</v>
      </c>
      <c r="AC343" s="9"/>
      <c r="AD343" s="88"/>
      <c r="AE343" s="88"/>
    </row>
    <row r="344" spans="1:31" ht="15.6" hidden="1" customHeight="1" x14ac:dyDescent="0.25">
      <c r="A344" s="48" t="s">
        <v>18</v>
      </c>
      <c r="B344" s="48" t="s">
        <v>18</v>
      </c>
      <c r="C344" s="48" t="s">
        <v>24</v>
      </c>
      <c r="D344" s="48" t="s">
        <v>18</v>
      </c>
      <c r="E344" s="48" t="s">
        <v>21</v>
      </c>
      <c r="F344" s="48" t="s">
        <v>18</v>
      </c>
      <c r="G344" s="48" t="s">
        <v>22</v>
      </c>
      <c r="H344" s="48" t="s">
        <v>19</v>
      </c>
      <c r="I344" s="48" t="s">
        <v>24</v>
      </c>
      <c r="J344" s="48" t="s">
        <v>18</v>
      </c>
      <c r="K344" s="48" t="s">
        <v>18</v>
      </c>
      <c r="L344" s="48" t="s">
        <v>20</v>
      </c>
      <c r="M344" s="48" t="s">
        <v>36</v>
      </c>
      <c r="N344" s="48" t="s">
        <v>18</v>
      </c>
      <c r="O344" s="48" t="s">
        <v>24</v>
      </c>
      <c r="P344" s="48" t="s">
        <v>22</v>
      </c>
      <c r="Q344" s="48" t="s">
        <v>38</v>
      </c>
      <c r="R344" s="156"/>
      <c r="S344" s="56" t="s">
        <v>0</v>
      </c>
      <c r="T344" s="1">
        <v>174.6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3">
        <f t="shared" si="101"/>
        <v>174.6</v>
      </c>
      <c r="AB344" s="52">
        <v>2018</v>
      </c>
      <c r="AC344" s="9"/>
      <c r="AD344" s="88"/>
      <c r="AE344" s="88"/>
    </row>
    <row r="345" spans="1:31" ht="30.6" hidden="1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69" t="s">
        <v>198</v>
      </c>
      <c r="S345" s="73" t="s">
        <v>164</v>
      </c>
      <c r="T345" s="3">
        <v>49.7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6">
        <f t="shared" si="101"/>
        <v>49.7</v>
      </c>
      <c r="AB345" s="37">
        <v>2018</v>
      </c>
      <c r="AC345" s="9"/>
      <c r="AD345" s="88"/>
      <c r="AE345" s="88"/>
    </row>
    <row r="346" spans="1:31" ht="15.6" hidden="1" customHeight="1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156" t="s">
        <v>199</v>
      </c>
      <c r="S346" s="56" t="s">
        <v>0</v>
      </c>
      <c r="T346" s="1">
        <f>SUM(T347:T349)</f>
        <v>508.5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3">
        <f t="shared" si="101"/>
        <v>508.5</v>
      </c>
      <c r="AB346" s="52">
        <v>2018</v>
      </c>
      <c r="AC346" s="9"/>
      <c r="AD346" s="88"/>
      <c r="AE346" s="88"/>
    </row>
    <row r="347" spans="1:31" ht="15.6" hidden="1" customHeight="1" x14ac:dyDescent="0.25">
      <c r="A347" s="48" t="s">
        <v>18</v>
      </c>
      <c r="B347" s="48" t="s">
        <v>18</v>
      </c>
      <c r="C347" s="48" t="s">
        <v>24</v>
      </c>
      <c r="D347" s="48" t="s">
        <v>18</v>
      </c>
      <c r="E347" s="48" t="s">
        <v>21</v>
      </c>
      <c r="F347" s="48" t="s">
        <v>18</v>
      </c>
      <c r="G347" s="48" t="s">
        <v>22</v>
      </c>
      <c r="H347" s="48" t="s">
        <v>19</v>
      </c>
      <c r="I347" s="48" t="s">
        <v>24</v>
      </c>
      <c r="J347" s="48" t="s">
        <v>18</v>
      </c>
      <c r="K347" s="48" t="s">
        <v>18</v>
      </c>
      <c r="L347" s="48" t="s">
        <v>20</v>
      </c>
      <c r="M347" s="48" t="s">
        <v>19</v>
      </c>
      <c r="N347" s="48" t="s">
        <v>18</v>
      </c>
      <c r="O347" s="48" t="s">
        <v>24</v>
      </c>
      <c r="P347" s="48" t="s">
        <v>22</v>
      </c>
      <c r="Q347" s="48" t="s">
        <v>43</v>
      </c>
      <c r="R347" s="156"/>
      <c r="S347" s="56" t="s">
        <v>0</v>
      </c>
      <c r="T347" s="1">
        <v>203.4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3">
        <f t="shared" si="101"/>
        <v>203.4</v>
      </c>
      <c r="AB347" s="52">
        <v>2018</v>
      </c>
      <c r="AC347" s="9"/>
      <c r="AD347" s="88"/>
      <c r="AE347" s="88"/>
    </row>
    <row r="348" spans="1:31" ht="15.6" hidden="1" customHeight="1" x14ac:dyDescent="0.25">
      <c r="A348" s="48" t="s">
        <v>18</v>
      </c>
      <c r="B348" s="48" t="s">
        <v>18</v>
      </c>
      <c r="C348" s="48" t="s">
        <v>24</v>
      </c>
      <c r="D348" s="48" t="s">
        <v>18</v>
      </c>
      <c r="E348" s="48" t="s">
        <v>21</v>
      </c>
      <c r="F348" s="48" t="s">
        <v>18</v>
      </c>
      <c r="G348" s="48" t="s">
        <v>22</v>
      </c>
      <c r="H348" s="48" t="s">
        <v>19</v>
      </c>
      <c r="I348" s="48" t="s">
        <v>24</v>
      </c>
      <c r="J348" s="48" t="s">
        <v>18</v>
      </c>
      <c r="K348" s="48" t="s">
        <v>18</v>
      </c>
      <c r="L348" s="48" t="s">
        <v>20</v>
      </c>
      <c r="M348" s="48" t="s">
        <v>36</v>
      </c>
      <c r="N348" s="48" t="s">
        <v>18</v>
      </c>
      <c r="O348" s="48" t="s">
        <v>24</v>
      </c>
      <c r="P348" s="48" t="s">
        <v>22</v>
      </c>
      <c r="Q348" s="48" t="s">
        <v>44</v>
      </c>
      <c r="R348" s="156"/>
      <c r="S348" s="56" t="s">
        <v>0</v>
      </c>
      <c r="T348" s="1">
        <v>50.9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3">
        <f t="shared" si="101"/>
        <v>50.9</v>
      </c>
      <c r="AB348" s="52">
        <v>2018</v>
      </c>
      <c r="AC348" s="9"/>
      <c r="AD348" s="88"/>
      <c r="AE348" s="88"/>
    </row>
    <row r="349" spans="1:31" ht="15.6" hidden="1" customHeight="1" x14ac:dyDescent="0.25">
      <c r="A349" s="48" t="s">
        <v>18</v>
      </c>
      <c r="B349" s="48" t="s">
        <v>18</v>
      </c>
      <c r="C349" s="48" t="s">
        <v>24</v>
      </c>
      <c r="D349" s="48" t="s">
        <v>18</v>
      </c>
      <c r="E349" s="48" t="s">
        <v>21</v>
      </c>
      <c r="F349" s="48" t="s">
        <v>18</v>
      </c>
      <c r="G349" s="48" t="s">
        <v>22</v>
      </c>
      <c r="H349" s="48" t="s">
        <v>19</v>
      </c>
      <c r="I349" s="48" t="s">
        <v>24</v>
      </c>
      <c r="J349" s="48" t="s">
        <v>18</v>
      </c>
      <c r="K349" s="48" t="s">
        <v>18</v>
      </c>
      <c r="L349" s="48" t="s">
        <v>20</v>
      </c>
      <c r="M349" s="48" t="s">
        <v>36</v>
      </c>
      <c r="N349" s="48" t="s">
        <v>18</v>
      </c>
      <c r="O349" s="48" t="s">
        <v>24</v>
      </c>
      <c r="P349" s="48" t="s">
        <v>22</v>
      </c>
      <c r="Q349" s="48" t="s">
        <v>38</v>
      </c>
      <c r="R349" s="156"/>
      <c r="S349" s="56" t="s">
        <v>0</v>
      </c>
      <c r="T349" s="1">
        <v>254.2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3">
        <f t="shared" si="101"/>
        <v>254.2</v>
      </c>
      <c r="AB349" s="52">
        <v>2018</v>
      </c>
      <c r="AC349" s="9"/>
      <c r="AD349" s="88"/>
      <c r="AE349" s="88"/>
    </row>
    <row r="350" spans="1:31" ht="31.15" hidden="1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69" t="s">
        <v>200</v>
      </c>
      <c r="S350" s="73" t="s">
        <v>164</v>
      </c>
      <c r="T350" s="3">
        <v>88.3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6">
        <f t="shared" si="101"/>
        <v>88.3</v>
      </c>
      <c r="AB350" s="37">
        <v>2018</v>
      </c>
      <c r="AC350" s="9"/>
      <c r="AD350" s="88"/>
      <c r="AE350" s="88"/>
    </row>
    <row r="351" spans="1:31" ht="15.6" customHeight="1" x14ac:dyDescent="0.25">
      <c r="A351" s="48" t="s">
        <v>18</v>
      </c>
      <c r="B351" s="48" t="s">
        <v>18</v>
      </c>
      <c r="C351" s="48" t="s">
        <v>21</v>
      </c>
      <c r="D351" s="48" t="s">
        <v>18</v>
      </c>
      <c r="E351" s="48" t="s">
        <v>18</v>
      </c>
      <c r="F351" s="48" t="s">
        <v>18</v>
      </c>
      <c r="G351" s="48" t="s">
        <v>18</v>
      </c>
      <c r="H351" s="48" t="s">
        <v>19</v>
      </c>
      <c r="I351" s="48" t="s">
        <v>24</v>
      </c>
      <c r="J351" s="48" t="s">
        <v>18</v>
      </c>
      <c r="K351" s="48" t="s">
        <v>18</v>
      </c>
      <c r="L351" s="48" t="s">
        <v>20</v>
      </c>
      <c r="M351" s="48" t="s">
        <v>18</v>
      </c>
      <c r="N351" s="48" t="s">
        <v>18</v>
      </c>
      <c r="O351" s="48" t="s">
        <v>18</v>
      </c>
      <c r="P351" s="48" t="s">
        <v>18</v>
      </c>
      <c r="Q351" s="48" t="s">
        <v>18</v>
      </c>
      <c r="R351" s="160" t="s">
        <v>129</v>
      </c>
      <c r="S351" s="164" t="s">
        <v>0</v>
      </c>
      <c r="T351" s="53">
        <f>SUM(T352:T355)</f>
        <v>8990.0999999999985</v>
      </c>
      <c r="U351" s="53">
        <f>SUM(U352:U358)</f>
        <v>8489.7000000000007</v>
      </c>
      <c r="V351" s="53">
        <v>0</v>
      </c>
      <c r="W351" s="53">
        <f>SUM(W352:W362)</f>
        <v>6534.5</v>
      </c>
      <c r="X351" s="53">
        <f t="shared" ref="X351:Z351" si="102">SUM(X352:X362)</f>
        <v>2060.9</v>
      </c>
      <c r="Y351" s="53">
        <f t="shared" si="102"/>
        <v>5195.7</v>
      </c>
      <c r="Z351" s="53">
        <f t="shared" si="102"/>
        <v>11463.3</v>
      </c>
      <c r="AA351" s="53">
        <f>SUM(T351:Z351)</f>
        <v>42734.2</v>
      </c>
      <c r="AB351" s="52">
        <v>2023</v>
      </c>
      <c r="AC351" s="111"/>
      <c r="AD351" s="88"/>
      <c r="AE351" s="88"/>
    </row>
    <row r="352" spans="1:31" x14ac:dyDescent="0.25">
      <c r="A352" s="48" t="s">
        <v>18</v>
      </c>
      <c r="B352" s="48" t="s">
        <v>18</v>
      </c>
      <c r="C352" s="48" t="s">
        <v>21</v>
      </c>
      <c r="D352" s="48" t="s">
        <v>18</v>
      </c>
      <c r="E352" s="48" t="s">
        <v>18</v>
      </c>
      <c r="F352" s="48" t="s">
        <v>18</v>
      </c>
      <c r="G352" s="48" t="s">
        <v>18</v>
      </c>
      <c r="H352" s="48" t="s">
        <v>19</v>
      </c>
      <c r="I352" s="48" t="s">
        <v>24</v>
      </c>
      <c r="J352" s="48" t="s">
        <v>18</v>
      </c>
      <c r="K352" s="48" t="s">
        <v>18</v>
      </c>
      <c r="L352" s="48" t="s">
        <v>20</v>
      </c>
      <c r="M352" s="48" t="s">
        <v>19</v>
      </c>
      <c r="N352" s="48" t="s">
        <v>18</v>
      </c>
      <c r="O352" s="48" t="s">
        <v>24</v>
      </c>
      <c r="P352" s="48" t="s">
        <v>22</v>
      </c>
      <c r="Q352" s="48" t="s">
        <v>43</v>
      </c>
      <c r="R352" s="161"/>
      <c r="S352" s="165"/>
      <c r="T352" s="1">
        <f>T366+T372+T379+T386+T393+T400+T407+T414+T421+T428+T434+T440</f>
        <v>3538.9999999999995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3">
        <f t="shared" ref="AA352:AA362" si="103">SUM(T352:Z352)</f>
        <v>3538.9999999999995</v>
      </c>
      <c r="AB352" s="52">
        <v>2018</v>
      </c>
      <c r="AC352" s="111"/>
      <c r="AD352" s="88"/>
      <c r="AE352" s="88"/>
    </row>
    <row r="353" spans="1:31" x14ac:dyDescent="0.25">
      <c r="A353" s="48" t="s">
        <v>18</v>
      </c>
      <c r="B353" s="48" t="s">
        <v>18</v>
      </c>
      <c r="C353" s="48" t="s">
        <v>21</v>
      </c>
      <c r="D353" s="48" t="s">
        <v>18</v>
      </c>
      <c r="E353" s="48" t="s">
        <v>18</v>
      </c>
      <c r="F353" s="48" t="s">
        <v>18</v>
      </c>
      <c r="G353" s="48" t="s">
        <v>18</v>
      </c>
      <c r="H353" s="48" t="s">
        <v>19</v>
      </c>
      <c r="I353" s="48" t="s">
        <v>24</v>
      </c>
      <c r="J353" s="48" t="s">
        <v>18</v>
      </c>
      <c r="K353" s="48" t="s">
        <v>18</v>
      </c>
      <c r="L353" s="48" t="s">
        <v>20</v>
      </c>
      <c r="M353" s="48" t="s">
        <v>19</v>
      </c>
      <c r="N353" s="48" t="s">
        <v>18</v>
      </c>
      <c r="O353" s="48" t="s">
        <v>42</v>
      </c>
      <c r="P353" s="48" t="s">
        <v>22</v>
      </c>
      <c r="Q353" s="48" t="s">
        <v>166</v>
      </c>
      <c r="R353" s="161"/>
      <c r="S353" s="165"/>
      <c r="T353" s="1">
        <v>339.9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3">
        <f t="shared" si="103"/>
        <v>339.9</v>
      </c>
      <c r="AB353" s="52">
        <v>2018</v>
      </c>
      <c r="AC353" s="111"/>
      <c r="AD353" s="88"/>
      <c r="AE353" s="88"/>
    </row>
    <row r="354" spans="1:31" x14ac:dyDescent="0.25">
      <c r="A354" s="48" t="s">
        <v>18</v>
      </c>
      <c r="B354" s="48" t="s">
        <v>18</v>
      </c>
      <c r="C354" s="48" t="s">
        <v>21</v>
      </c>
      <c r="D354" s="48" t="s">
        <v>18</v>
      </c>
      <c r="E354" s="48" t="s">
        <v>18</v>
      </c>
      <c r="F354" s="48" t="s">
        <v>18</v>
      </c>
      <c r="G354" s="48" t="s">
        <v>18</v>
      </c>
      <c r="H354" s="48" t="s">
        <v>19</v>
      </c>
      <c r="I354" s="48" t="s">
        <v>24</v>
      </c>
      <c r="J354" s="48" t="s">
        <v>18</v>
      </c>
      <c r="K354" s="48" t="s">
        <v>18</v>
      </c>
      <c r="L354" s="48" t="s">
        <v>20</v>
      </c>
      <c r="M354" s="48" t="s">
        <v>36</v>
      </c>
      <c r="N354" s="48" t="s">
        <v>18</v>
      </c>
      <c r="O354" s="48" t="s">
        <v>24</v>
      </c>
      <c r="P354" s="48" t="s">
        <v>22</v>
      </c>
      <c r="Q354" s="48" t="s">
        <v>44</v>
      </c>
      <c r="R354" s="161"/>
      <c r="S354" s="165"/>
      <c r="T354" s="1">
        <f>T367+T368+T374+T375+T381+T382+T388+T389+T395+T396+T402+T403+T409+T410+T416+T417+T423+T424+T430+T436+T443+T442</f>
        <v>1913.5</v>
      </c>
      <c r="U354" s="1">
        <v>1308.8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3">
        <f t="shared" si="103"/>
        <v>3222.3</v>
      </c>
      <c r="AB354" s="52">
        <v>2019</v>
      </c>
      <c r="AC354" s="111"/>
      <c r="AD354" s="88"/>
      <c r="AE354" s="88"/>
    </row>
    <row r="355" spans="1:31" x14ac:dyDescent="0.25">
      <c r="A355" s="48" t="s">
        <v>18</v>
      </c>
      <c r="B355" s="48" t="s">
        <v>18</v>
      </c>
      <c r="C355" s="48" t="s">
        <v>21</v>
      </c>
      <c r="D355" s="48" t="s">
        <v>18</v>
      </c>
      <c r="E355" s="48" t="s">
        <v>18</v>
      </c>
      <c r="F355" s="48" t="s">
        <v>18</v>
      </c>
      <c r="G355" s="48" t="s">
        <v>18</v>
      </c>
      <c r="H355" s="48" t="s">
        <v>19</v>
      </c>
      <c r="I355" s="48" t="s">
        <v>24</v>
      </c>
      <c r="J355" s="48" t="s">
        <v>18</v>
      </c>
      <c r="K355" s="48" t="s">
        <v>18</v>
      </c>
      <c r="L355" s="48" t="s">
        <v>20</v>
      </c>
      <c r="M355" s="48" t="s">
        <v>36</v>
      </c>
      <c r="N355" s="48" t="s">
        <v>18</v>
      </c>
      <c r="O355" s="48" t="s">
        <v>24</v>
      </c>
      <c r="P355" s="48" t="s">
        <v>22</v>
      </c>
      <c r="Q355" s="48" t="s">
        <v>38</v>
      </c>
      <c r="R355" s="161"/>
      <c r="S355" s="165"/>
      <c r="T355" s="1">
        <v>3197.7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3">
        <f t="shared" si="103"/>
        <v>3197.7</v>
      </c>
      <c r="AB355" s="52">
        <v>2018</v>
      </c>
      <c r="AC355" s="111"/>
      <c r="AD355" s="88"/>
      <c r="AE355" s="88"/>
    </row>
    <row r="356" spans="1:31" x14ac:dyDescent="0.25">
      <c r="A356" s="48" t="s">
        <v>18</v>
      </c>
      <c r="B356" s="48" t="s">
        <v>18</v>
      </c>
      <c r="C356" s="48" t="s">
        <v>21</v>
      </c>
      <c r="D356" s="48" t="s">
        <v>18</v>
      </c>
      <c r="E356" s="48" t="s">
        <v>18</v>
      </c>
      <c r="F356" s="48" t="s">
        <v>18</v>
      </c>
      <c r="G356" s="48" t="s">
        <v>18</v>
      </c>
      <c r="H356" s="48" t="s">
        <v>19</v>
      </c>
      <c r="I356" s="48" t="s">
        <v>24</v>
      </c>
      <c r="J356" s="48" t="s">
        <v>18</v>
      </c>
      <c r="K356" s="48" t="s">
        <v>18</v>
      </c>
      <c r="L356" s="48" t="s">
        <v>20</v>
      </c>
      <c r="M356" s="48" t="s">
        <v>19</v>
      </c>
      <c r="N356" s="48" t="s">
        <v>18</v>
      </c>
      <c r="O356" s="48" t="s">
        <v>24</v>
      </c>
      <c r="P356" s="48" t="s">
        <v>22</v>
      </c>
      <c r="Q356" s="48" t="s">
        <v>18</v>
      </c>
      <c r="R356" s="161"/>
      <c r="S356" s="165"/>
      <c r="T356" s="1">
        <v>0</v>
      </c>
      <c r="U356" s="1">
        <f>4114.8-123.3</f>
        <v>3991.5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3">
        <f t="shared" si="103"/>
        <v>3991.5</v>
      </c>
      <c r="AB356" s="52">
        <v>2019</v>
      </c>
      <c r="AC356" s="111"/>
      <c r="AD356" s="88"/>
      <c r="AE356" s="88"/>
    </row>
    <row r="357" spans="1:31" x14ac:dyDescent="0.25">
      <c r="A357" s="48" t="s">
        <v>18</v>
      </c>
      <c r="B357" s="48" t="s">
        <v>18</v>
      </c>
      <c r="C357" s="48" t="s">
        <v>21</v>
      </c>
      <c r="D357" s="48" t="s">
        <v>18</v>
      </c>
      <c r="E357" s="48" t="s">
        <v>18</v>
      </c>
      <c r="F357" s="48" t="s">
        <v>18</v>
      </c>
      <c r="G357" s="48" t="s">
        <v>18</v>
      </c>
      <c r="H357" s="48" t="s">
        <v>19</v>
      </c>
      <c r="I357" s="48" t="s">
        <v>24</v>
      </c>
      <c r="J357" s="48" t="s">
        <v>18</v>
      </c>
      <c r="K357" s="48" t="s">
        <v>18</v>
      </c>
      <c r="L357" s="48" t="s">
        <v>20</v>
      </c>
      <c r="M357" s="48" t="s">
        <v>36</v>
      </c>
      <c r="N357" s="48" t="s">
        <v>18</v>
      </c>
      <c r="O357" s="48" t="s">
        <v>24</v>
      </c>
      <c r="P357" s="48" t="s">
        <v>22</v>
      </c>
      <c r="Q357" s="48" t="s">
        <v>18</v>
      </c>
      <c r="R357" s="161"/>
      <c r="S357" s="165"/>
      <c r="T357" s="1">
        <v>0</v>
      </c>
      <c r="U357" s="1">
        <f>3035.2-53.3</f>
        <v>2981.8999999999996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3">
        <f t="shared" si="103"/>
        <v>2981.8999999999996</v>
      </c>
      <c r="AB357" s="52">
        <v>2019</v>
      </c>
      <c r="AC357" s="111"/>
      <c r="AD357" s="88"/>
      <c r="AE357" s="88"/>
    </row>
    <row r="358" spans="1:31" x14ac:dyDescent="0.25">
      <c r="A358" s="48" t="s">
        <v>18</v>
      </c>
      <c r="B358" s="48" t="s">
        <v>18</v>
      </c>
      <c r="C358" s="48" t="s">
        <v>21</v>
      </c>
      <c r="D358" s="48" t="s">
        <v>18</v>
      </c>
      <c r="E358" s="48" t="s">
        <v>18</v>
      </c>
      <c r="F358" s="48" t="s">
        <v>18</v>
      </c>
      <c r="G358" s="48" t="s">
        <v>18</v>
      </c>
      <c r="H358" s="48" t="s">
        <v>19</v>
      </c>
      <c r="I358" s="48" t="s">
        <v>24</v>
      </c>
      <c r="J358" s="48" t="s">
        <v>18</v>
      </c>
      <c r="K358" s="48" t="s">
        <v>18</v>
      </c>
      <c r="L358" s="48" t="s">
        <v>20</v>
      </c>
      <c r="M358" s="48" t="s">
        <v>19</v>
      </c>
      <c r="N358" s="48" t="s">
        <v>18</v>
      </c>
      <c r="O358" s="48" t="s">
        <v>42</v>
      </c>
      <c r="P358" s="48" t="s">
        <v>22</v>
      </c>
      <c r="Q358" s="48" t="s">
        <v>18</v>
      </c>
      <c r="R358" s="161"/>
      <c r="S358" s="165"/>
      <c r="T358" s="1">
        <v>0</v>
      </c>
      <c r="U358" s="1">
        <f>215-7.5</f>
        <v>207.5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3">
        <f t="shared" si="103"/>
        <v>207.5</v>
      </c>
      <c r="AB358" s="52">
        <v>2019</v>
      </c>
      <c r="AC358" s="111"/>
      <c r="AD358" s="88"/>
      <c r="AE358" s="88"/>
    </row>
    <row r="359" spans="1:31" x14ac:dyDescent="0.25">
      <c r="A359" s="48" t="s">
        <v>18</v>
      </c>
      <c r="B359" s="48" t="s">
        <v>18</v>
      </c>
      <c r="C359" s="48" t="s">
        <v>21</v>
      </c>
      <c r="D359" s="48" t="s">
        <v>18</v>
      </c>
      <c r="E359" s="48" t="s">
        <v>18</v>
      </c>
      <c r="F359" s="48" t="s">
        <v>18</v>
      </c>
      <c r="G359" s="48" t="s">
        <v>18</v>
      </c>
      <c r="H359" s="48" t="s">
        <v>19</v>
      </c>
      <c r="I359" s="48" t="s">
        <v>24</v>
      </c>
      <c r="J359" s="48" t="s">
        <v>18</v>
      </c>
      <c r="K359" s="48" t="s">
        <v>18</v>
      </c>
      <c r="L359" s="48" t="s">
        <v>20</v>
      </c>
      <c r="M359" s="48" t="s">
        <v>36</v>
      </c>
      <c r="N359" s="48" t="s">
        <v>42</v>
      </c>
      <c r="O359" s="48" t="s">
        <v>18</v>
      </c>
      <c r="P359" s="48" t="s">
        <v>18</v>
      </c>
      <c r="Q359" s="48" t="s">
        <v>18</v>
      </c>
      <c r="R359" s="161"/>
      <c r="S359" s="165"/>
      <c r="T359" s="1">
        <v>0</v>
      </c>
      <c r="U359" s="1">
        <v>0</v>
      </c>
      <c r="V359" s="1">
        <v>0</v>
      </c>
      <c r="W359" s="1">
        <f>1891+153</f>
        <v>2044</v>
      </c>
      <c r="X359" s="1">
        <f>987.7+37-1.2</f>
        <v>1023.5</v>
      </c>
      <c r="Y359" s="1">
        <v>1208.0999999999999</v>
      </c>
      <c r="Z359" s="1">
        <v>1500</v>
      </c>
      <c r="AA359" s="53">
        <f t="shared" si="103"/>
        <v>5775.6</v>
      </c>
      <c r="AB359" s="52">
        <v>2024</v>
      </c>
      <c r="AC359" s="111"/>
      <c r="AD359" s="88"/>
      <c r="AE359" s="88"/>
    </row>
    <row r="360" spans="1:31" x14ac:dyDescent="0.25">
      <c r="A360" s="48" t="s">
        <v>18</v>
      </c>
      <c r="B360" s="48" t="s">
        <v>18</v>
      </c>
      <c r="C360" s="48" t="s">
        <v>21</v>
      </c>
      <c r="D360" s="48" t="s">
        <v>18</v>
      </c>
      <c r="E360" s="48" t="s">
        <v>18</v>
      </c>
      <c r="F360" s="48" t="s">
        <v>18</v>
      </c>
      <c r="G360" s="48" t="s">
        <v>18</v>
      </c>
      <c r="H360" s="48" t="s">
        <v>19</v>
      </c>
      <c r="I360" s="48" t="s">
        <v>24</v>
      </c>
      <c r="J360" s="48" t="s">
        <v>18</v>
      </c>
      <c r="K360" s="48" t="s">
        <v>18</v>
      </c>
      <c r="L360" s="48" t="s">
        <v>20</v>
      </c>
      <c r="M360" s="48" t="s">
        <v>19</v>
      </c>
      <c r="N360" s="48" t="s">
        <v>42</v>
      </c>
      <c r="O360" s="48" t="s">
        <v>18</v>
      </c>
      <c r="P360" s="48" t="s">
        <v>18</v>
      </c>
      <c r="Q360" s="48" t="s">
        <v>18</v>
      </c>
      <c r="R360" s="161"/>
      <c r="S360" s="165"/>
      <c r="T360" s="1">
        <v>0</v>
      </c>
      <c r="U360" s="1">
        <v>0</v>
      </c>
      <c r="V360" s="1">
        <v>0</v>
      </c>
      <c r="W360" s="1">
        <v>3135.4</v>
      </c>
      <c r="X360" s="1">
        <v>600</v>
      </c>
      <c r="Y360" s="1">
        <f>2757.2-275.2</f>
        <v>2482</v>
      </c>
      <c r="Z360" s="1">
        <v>6717.4</v>
      </c>
      <c r="AA360" s="53">
        <f t="shared" si="103"/>
        <v>12934.8</v>
      </c>
      <c r="AB360" s="52">
        <v>2024</v>
      </c>
      <c r="AC360" s="111"/>
      <c r="AD360" s="88"/>
      <c r="AE360" s="88"/>
    </row>
    <row r="361" spans="1:31" x14ac:dyDescent="0.25">
      <c r="A361" s="48" t="s">
        <v>18</v>
      </c>
      <c r="B361" s="48" t="s">
        <v>18</v>
      </c>
      <c r="C361" s="48" t="s">
        <v>21</v>
      </c>
      <c r="D361" s="48" t="s">
        <v>18</v>
      </c>
      <c r="E361" s="48" t="s">
        <v>18</v>
      </c>
      <c r="F361" s="48" t="s">
        <v>18</v>
      </c>
      <c r="G361" s="48" t="s">
        <v>18</v>
      </c>
      <c r="H361" s="48" t="s">
        <v>19</v>
      </c>
      <c r="I361" s="48" t="s">
        <v>24</v>
      </c>
      <c r="J361" s="48" t="s">
        <v>18</v>
      </c>
      <c r="K361" s="48" t="s">
        <v>18</v>
      </c>
      <c r="L361" s="48" t="s">
        <v>20</v>
      </c>
      <c r="M361" s="48" t="s">
        <v>36</v>
      </c>
      <c r="N361" s="48" t="s">
        <v>42</v>
      </c>
      <c r="O361" s="48" t="s">
        <v>44</v>
      </c>
      <c r="P361" s="48" t="s">
        <v>18</v>
      </c>
      <c r="Q361" s="48" t="s">
        <v>18</v>
      </c>
      <c r="R361" s="161"/>
      <c r="S361" s="165"/>
      <c r="T361" s="1">
        <v>0</v>
      </c>
      <c r="U361" s="1">
        <v>0</v>
      </c>
      <c r="V361" s="1">
        <v>0</v>
      </c>
      <c r="W361" s="1">
        <v>1195.0999999999999</v>
      </c>
      <c r="X361" s="1">
        <v>437.4</v>
      </c>
      <c r="Y361" s="1">
        <v>1423.4</v>
      </c>
      <c r="Z361" s="1">
        <v>3045.9</v>
      </c>
      <c r="AA361" s="53">
        <f t="shared" si="103"/>
        <v>6101.8</v>
      </c>
      <c r="AB361" s="52">
        <v>2024</v>
      </c>
      <c r="AC361" s="111"/>
      <c r="AD361" s="88"/>
      <c r="AE361" s="88"/>
    </row>
    <row r="362" spans="1:31" x14ac:dyDescent="0.25">
      <c r="A362" s="48" t="s">
        <v>18</v>
      </c>
      <c r="B362" s="48" t="s">
        <v>18</v>
      </c>
      <c r="C362" s="48" t="s">
        <v>21</v>
      </c>
      <c r="D362" s="48" t="s">
        <v>18</v>
      </c>
      <c r="E362" s="48" t="s">
        <v>18</v>
      </c>
      <c r="F362" s="48" t="s">
        <v>18</v>
      </c>
      <c r="G362" s="48" t="s">
        <v>18</v>
      </c>
      <c r="H362" s="48" t="s">
        <v>19</v>
      </c>
      <c r="I362" s="48" t="s">
        <v>24</v>
      </c>
      <c r="J362" s="48" t="s">
        <v>18</v>
      </c>
      <c r="K362" s="48" t="s">
        <v>18</v>
      </c>
      <c r="L362" s="48" t="s">
        <v>20</v>
      </c>
      <c r="M362" s="48" t="s">
        <v>19</v>
      </c>
      <c r="N362" s="48" t="s">
        <v>42</v>
      </c>
      <c r="O362" s="48" t="s">
        <v>22</v>
      </c>
      <c r="P362" s="48" t="s">
        <v>18</v>
      </c>
      <c r="Q362" s="48" t="s">
        <v>18</v>
      </c>
      <c r="R362" s="162"/>
      <c r="S362" s="166"/>
      <c r="T362" s="1">
        <v>0</v>
      </c>
      <c r="U362" s="1">
        <v>0</v>
      </c>
      <c r="V362" s="1">
        <v>0</v>
      </c>
      <c r="W362" s="1">
        <v>160</v>
      </c>
      <c r="X362" s="1">
        <v>0</v>
      </c>
      <c r="Y362" s="1">
        <f>90-7.8</f>
        <v>82.2</v>
      </c>
      <c r="Z362" s="1">
        <v>200</v>
      </c>
      <c r="AA362" s="53">
        <f t="shared" si="103"/>
        <v>442.2</v>
      </c>
      <c r="AB362" s="52">
        <v>2024</v>
      </c>
      <c r="AC362" s="111"/>
      <c r="AD362" s="88"/>
      <c r="AE362" s="88"/>
    </row>
    <row r="363" spans="1:31" ht="31.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69" t="s">
        <v>275</v>
      </c>
      <c r="S363" s="55" t="s">
        <v>50</v>
      </c>
      <c r="T363" s="3">
        <v>2.7</v>
      </c>
      <c r="U363" s="3">
        <v>1</v>
      </c>
      <c r="V363" s="3">
        <v>0</v>
      </c>
      <c r="W363" s="3">
        <v>2.2000000000000002</v>
      </c>
      <c r="X363" s="3">
        <v>0.8</v>
      </c>
      <c r="Y363" s="3">
        <v>1.7</v>
      </c>
      <c r="Z363" s="3">
        <v>3.6</v>
      </c>
      <c r="AA363" s="6">
        <f t="shared" si="101"/>
        <v>8.4</v>
      </c>
      <c r="AB363" s="37">
        <v>2024</v>
      </c>
      <c r="AC363" s="9"/>
      <c r="AD363" s="88"/>
      <c r="AE363" s="88"/>
    </row>
    <row r="364" spans="1:31" ht="31.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69" t="s">
        <v>276</v>
      </c>
      <c r="S364" s="73" t="s">
        <v>48</v>
      </c>
      <c r="T364" s="40">
        <v>11</v>
      </c>
      <c r="U364" s="40">
        <v>6</v>
      </c>
      <c r="V364" s="40">
        <v>0</v>
      </c>
      <c r="W364" s="40">
        <v>4</v>
      </c>
      <c r="X364" s="40">
        <v>1</v>
      </c>
      <c r="Y364" s="40">
        <v>2</v>
      </c>
      <c r="Z364" s="40">
        <v>4</v>
      </c>
      <c r="AA364" s="43">
        <f t="shared" si="101"/>
        <v>24</v>
      </c>
      <c r="AB364" s="37">
        <v>2024</v>
      </c>
      <c r="AC364" s="9"/>
      <c r="AD364" s="88"/>
      <c r="AE364" s="88"/>
    </row>
    <row r="365" spans="1:31" ht="15.6" hidden="1" customHeight="1" x14ac:dyDescent="0.25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156" t="s">
        <v>201</v>
      </c>
      <c r="S365" s="56" t="s">
        <v>0</v>
      </c>
      <c r="T365" s="1">
        <f>SUM(T366:T369)</f>
        <v>1027.7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3">
        <f t="shared" si="98"/>
        <v>1027.7</v>
      </c>
      <c r="AB365" s="52">
        <v>2018</v>
      </c>
      <c r="AC365" s="9"/>
      <c r="AD365" s="88"/>
      <c r="AE365" s="88"/>
    </row>
    <row r="366" spans="1:31" ht="15.6" hidden="1" customHeight="1" x14ac:dyDescent="0.25">
      <c r="A366" s="48" t="s">
        <v>18</v>
      </c>
      <c r="B366" s="48" t="s">
        <v>18</v>
      </c>
      <c r="C366" s="48" t="s">
        <v>21</v>
      </c>
      <c r="D366" s="48" t="s">
        <v>18</v>
      </c>
      <c r="E366" s="48" t="s">
        <v>21</v>
      </c>
      <c r="F366" s="48" t="s">
        <v>18</v>
      </c>
      <c r="G366" s="48" t="s">
        <v>22</v>
      </c>
      <c r="H366" s="48" t="s">
        <v>19</v>
      </c>
      <c r="I366" s="48" t="s">
        <v>24</v>
      </c>
      <c r="J366" s="48" t="s">
        <v>18</v>
      </c>
      <c r="K366" s="48" t="s">
        <v>18</v>
      </c>
      <c r="L366" s="48" t="s">
        <v>20</v>
      </c>
      <c r="M366" s="48" t="s">
        <v>19</v>
      </c>
      <c r="N366" s="48" t="s">
        <v>18</v>
      </c>
      <c r="O366" s="48" t="s">
        <v>24</v>
      </c>
      <c r="P366" s="48" t="s">
        <v>22</v>
      </c>
      <c r="Q366" s="48" t="s">
        <v>43</v>
      </c>
      <c r="R366" s="156"/>
      <c r="S366" s="56" t="s">
        <v>0</v>
      </c>
      <c r="T366" s="1">
        <v>400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3">
        <f t="shared" si="98"/>
        <v>400</v>
      </c>
      <c r="AB366" s="52">
        <v>2018</v>
      </c>
      <c r="AC366" s="9"/>
      <c r="AD366" s="88"/>
      <c r="AE366" s="88"/>
    </row>
    <row r="367" spans="1:31" ht="15.6" hidden="1" customHeight="1" x14ac:dyDescent="0.25">
      <c r="A367" s="48" t="s">
        <v>18</v>
      </c>
      <c r="B367" s="48" t="s">
        <v>18</v>
      </c>
      <c r="C367" s="48" t="s">
        <v>21</v>
      </c>
      <c r="D367" s="48" t="s">
        <v>18</v>
      </c>
      <c r="E367" s="48" t="s">
        <v>21</v>
      </c>
      <c r="F367" s="48" t="s">
        <v>18</v>
      </c>
      <c r="G367" s="48" t="s">
        <v>22</v>
      </c>
      <c r="H367" s="48" t="s">
        <v>19</v>
      </c>
      <c r="I367" s="48" t="s">
        <v>24</v>
      </c>
      <c r="J367" s="48" t="s">
        <v>18</v>
      </c>
      <c r="K367" s="48" t="s">
        <v>18</v>
      </c>
      <c r="L367" s="48" t="s">
        <v>20</v>
      </c>
      <c r="M367" s="48" t="s">
        <v>36</v>
      </c>
      <c r="N367" s="48" t="s">
        <v>18</v>
      </c>
      <c r="O367" s="48" t="s">
        <v>24</v>
      </c>
      <c r="P367" s="48" t="s">
        <v>22</v>
      </c>
      <c r="Q367" s="48" t="s">
        <v>44</v>
      </c>
      <c r="R367" s="156"/>
      <c r="S367" s="56" t="s">
        <v>0</v>
      </c>
      <c r="T367" s="1">
        <v>14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3">
        <f t="shared" si="98"/>
        <v>14</v>
      </c>
      <c r="AB367" s="52">
        <v>2018</v>
      </c>
      <c r="AC367" s="9"/>
      <c r="AD367" s="88"/>
      <c r="AE367" s="88"/>
    </row>
    <row r="368" spans="1:31" ht="15.6" hidden="1" customHeight="1" x14ac:dyDescent="0.25">
      <c r="A368" s="48" t="s">
        <v>18</v>
      </c>
      <c r="B368" s="48" t="s">
        <v>18</v>
      </c>
      <c r="C368" s="48" t="s">
        <v>21</v>
      </c>
      <c r="D368" s="48" t="s">
        <v>18</v>
      </c>
      <c r="E368" s="48" t="s">
        <v>21</v>
      </c>
      <c r="F368" s="48" t="s">
        <v>18</v>
      </c>
      <c r="G368" s="48" t="s">
        <v>22</v>
      </c>
      <c r="H368" s="48" t="s">
        <v>19</v>
      </c>
      <c r="I368" s="48" t="s">
        <v>24</v>
      </c>
      <c r="J368" s="48" t="s">
        <v>18</v>
      </c>
      <c r="K368" s="48" t="s">
        <v>18</v>
      </c>
      <c r="L368" s="48" t="s">
        <v>20</v>
      </c>
      <c r="M368" s="48" t="s">
        <v>36</v>
      </c>
      <c r="N368" s="48" t="s">
        <v>18</v>
      </c>
      <c r="O368" s="48" t="s">
        <v>24</v>
      </c>
      <c r="P368" s="48" t="s">
        <v>22</v>
      </c>
      <c r="Q368" s="48" t="s">
        <v>44</v>
      </c>
      <c r="R368" s="156"/>
      <c r="S368" s="56" t="s">
        <v>0</v>
      </c>
      <c r="T368" s="1">
        <v>157.4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3">
        <f t="shared" si="98"/>
        <v>157.4</v>
      </c>
      <c r="AB368" s="52">
        <v>2018</v>
      </c>
      <c r="AC368" s="9"/>
      <c r="AD368" s="88"/>
      <c r="AE368" s="88"/>
    </row>
    <row r="369" spans="1:31" ht="15.6" hidden="1" customHeight="1" x14ac:dyDescent="0.25">
      <c r="A369" s="48" t="s">
        <v>18</v>
      </c>
      <c r="B369" s="48" t="s">
        <v>18</v>
      </c>
      <c r="C369" s="48" t="s">
        <v>21</v>
      </c>
      <c r="D369" s="48" t="s">
        <v>18</v>
      </c>
      <c r="E369" s="48" t="s">
        <v>21</v>
      </c>
      <c r="F369" s="48" t="s">
        <v>18</v>
      </c>
      <c r="G369" s="48" t="s">
        <v>22</v>
      </c>
      <c r="H369" s="48" t="s">
        <v>19</v>
      </c>
      <c r="I369" s="48" t="s">
        <v>24</v>
      </c>
      <c r="J369" s="48" t="s">
        <v>18</v>
      </c>
      <c r="K369" s="48" t="s">
        <v>18</v>
      </c>
      <c r="L369" s="48" t="s">
        <v>20</v>
      </c>
      <c r="M369" s="48" t="s">
        <v>36</v>
      </c>
      <c r="N369" s="48" t="s">
        <v>18</v>
      </c>
      <c r="O369" s="48" t="s">
        <v>24</v>
      </c>
      <c r="P369" s="48" t="s">
        <v>22</v>
      </c>
      <c r="Q369" s="48" t="s">
        <v>38</v>
      </c>
      <c r="R369" s="156"/>
      <c r="S369" s="56" t="s">
        <v>0</v>
      </c>
      <c r="T369" s="1">
        <v>456.3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3">
        <f t="shared" si="98"/>
        <v>456.3</v>
      </c>
      <c r="AB369" s="52">
        <v>2018</v>
      </c>
      <c r="AC369" s="9"/>
      <c r="AD369" s="88"/>
      <c r="AE369" s="88"/>
    </row>
    <row r="370" spans="1:31" ht="51" hidden="1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69" t="s">
        <v>202</v>
      </c>
      <c r="S370" s="73" t="s">
        <v>163</v>
      </c>
      <c r="T370" s="3">
        <v>754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98"/>
        <v>754</v>
      </c>
      <c r="AB370" s="37">
        <v>2018</v>
      </c>
      <c r="AC370" s="9"/>
      <c r="AD370" s="88"/>
      <c r="AE370" s="88"/>
    </row>
    <row r="371" spans="1:31" ht="16.149999999999999" hidden="1" customHeight="1" x14ac:dyDescent="0.25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156" t="s">
        <v>203</v>
      </c>
      <c r="S371" s="56" t="s">
        <v>0</v>
      </c>
      <c r="T371" s="1">
        <f>SUM(T372:T376)</f>
        <v>244.8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3">
        <f t="shared" si="98"/>
        <v>244.8</v>
      </c>
      <c r="AB371" s="52">
        <v>2018</v>
      </c>
      <c r="AC371" s="9"/>
      <c r="AD371" s="88"/>
      <c r="AE371" s="88"/>
    </row>
    <row r="372" spans="1:31" ht="16.149999999999999" hidden="1" customHeight="1" x14ac:dyDescent="0.25">
      <c r="A372" s="48" t="s">
        <v>18</v>
      </c>
      <c r="B372" s="48" t="s">
        <v>18</v>
      </c>
      <c r="C372" s="48" t="s">
        <v>21</v>
      </c>
      <c r="D372" s="48" t="s">
        <v>18</v>
      </c>
      <c r="E372" s="48" t="s">
        <v>21</v>
      </c>
      <c r="F372" s="48" t="s">
        <v>18</v>
      </c>
      <c r="G372" s="48" t="s">
        <v>22</v>
      </c>
      <c r="H372" s="48" t="s">
        <v>19</v>
      </c>
      <c r="I372" s="48" t="s">
        <v>24</v>
      </c>
      <c r="J372" s="48" t="s">
        <v>18</v>
      </c>
      <c r="K372" s="48" t="s">
        <v>18</v>
      </c>
      <c r="L372" s="48" t="s">
        <v>20</v>
      </c>
      <c r="M372" s="48" t="s">
        <v>19</v>
      </c>
      <c r="N372" s="48" t="s">
        <v>18</v>
      </c>
      <c r="O372" s="48" t="s">
        <v>24</v>
      </c>
      <c r="P372" s="48" t="s">
        <v>22</v>
      </c>
      <c r="Q372" s="48" t="s">
        <v>43</v>
      </c>
      <c r="R372" s="156"/>
      <c r="S372" s="56" t="s">
        <v>0</v>
      </c>
      <c r="T372" s="1">
        <v>97.9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3">
        <f t="shared" si="98"/>
        <v>97.9</v>
      </c>
      <c r="AB372" s="52">
        <v>2018</v>
      </c>
      <c r="AC372" s="9"/>
      <c r="AD372" s="88"/>
      <c r="AE372" s="88"/>
    </row>
    <row r="373" spans="1:31" ht="16.149999999999999" hidden="1" customHeight="1" x14ac:dyDescent="0.25">
      <c r="A373" s="48" t="s">
        <v>18</v>
      </c>
      <c r="B373" s="48" t="s">
        <v>18</v>
      </c>
      <c r="C373" s="48" t="s">
        <v>21</v>
      </c>
      <c r="D373" s="48" t="s">
        <v>18</v>
      </c>
      <c r="E373" s="48" t="s">
        <v>21</v>
      </c>
      <c r="F373" s="48" t="s">
        <v>18</v>
      </c>
      <c r="G373" s="48" t="s">
        <v>22</v>
      </c>
      <c r="H373" s="48" t="s">
        <v>19</v>
      </c>
      <c r="I373" s="48" t="s">
        <v>24</v>
      </c>
      <c r="J373" s="48" t="s">
        <v>18</v>
      </c>
      <c r="K373" s="48" t="s">
        <v>18</v>
      </c>
      <c r="L373" s="48" t="s">
        <v>20</v>
      </c>
      <c r="M373" s="48" t="s">
        <v>19</v>
      </c>
      <c r="N373" s="48" t="s">
        <v>18</v>
      </c>
      <c r="O373" s="48" t="s">
        <v>42</v>
      </c>
      <c r="P373" s="48" t="s">
        <v>22</v>
      </c>
      <c r="Q373" s="48" t="s">
        <v>166</v>
      </c>
      <c r="R373" s="156"/>
      <c r="S373" s="56" t="s">
        <v>0</v>
      </c>
      <c r="T373" s="1">
        <v>15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3">
        <f t="shared" si="98"/>
        <v>15</v>
      </c>
      <c r="AB373" s="52">
        <v>2018</v>
      </c>
      <c r="AC373" s="9"/>
      <c r="AD373" s="88"/>
      <c r="AE373" s="88"/>
    </row>
    <row r="374" spans="1:31" ht="16.149999999999999" hidden="1" customHeight="1" x14ac:dyDescent="0.25">
      <c r="A374" s="48" t="s">
        <v>18</v>
      </c>
      <c r="B374" s="48" t="s">
        <v>18</v>
      </c>
      <c r="C374" s="48" t="s">
        <v>21</v>
      </c>
      <c r="D374" s="48" t="s">
        <v>18</v>
      </c>
      <c r="E374" s="48" t="s">
        <v>21</v>
      </c>
      <c r="F374" s="48" t="s">
        <v>18</v>
      </c>
      <c r="G374" s="48" t="s">
        <v>22</v>
      </c>
      <c r="H374" s="48" t="s">
        <v>19</v>
      </c>
      <c r="I374" s="48" t="s">
        <v>24</v>
      </c>
      <c r="J374" s="48" t="s">
        <v>18</v>
      </c>
      <c r="K374" s="48" t="s">
        <v>18</v>
      </c>
      <c r="L374" s="48" t="s">
        <v>20</v>
      </c>
      <c r="M374" s="48" t="s">
        <v>36</v>
      </c>
      <c r="N374" s="48" t="s">
        <v>18</v>
      </c>
      <c r="O374" s="48" t="s">
        <v>24</v>
      </c>
      <c r="P374" s="48" t="s">
        <v>22</v>
      </c>
      <c r="Q374" s="48" t="s">
        <v>44</v>
      </c>
      <c r="R374" s="156"/>
      <c r="S374" s="56" t="s">
        <v>0</v>
      </c>
      <c r="T374" s="1">
        <v>4.9000000000000004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3">
        <f t="shared" si="98"/>
        <v>4.9000000000000004</v>
      </c>
      <c r="AB374" s="52">
        <v>2018</v>
      </c>
      <c r="AC374" s="9"/>
      <c r="AD374" s="88"/>
      <c r="AE374" s="88"/>
    </row>
    <row r="375" spans="1:31" ht="16.149999999999999" hidden="1" customHeight="1" x14ac:dyDescent="0.25">
      <c r="A375" s="48" t="s">
        <v>18</v>
      </c>
      <c r="B375" s="48" t="s">
        <v>18</v>
      </c>
      <c r="C375" s="48" t="s">
        <v>21</v>
      </c>
      <c r="D375" s="48" t="s">
        <v>18</v>
      </c>
      <c r="E375" s="48" t="s">
        <v>21</v>
      </c>
      <c r="F375" s="48" t="s">
        <v>18</v>
      </c>
      <c r="G375" s="48" t="s">
        <v>22</v>
      </c>
      <c r="H375" s="48" t="s">
        <v>19</v>
      </c>
      <c r="I375" s="48" t="s">
        <v>24</v>
      </c>
      <c r="J375" s="48" t="s">
        <v>18</v>
      </c>
      <c r="K375" s="48" t="s">
        <v>18</v>
      </c>
      <c r="L375" s="48" t="s">
        <v>20</v>
      </c>
      <c r="M375" s="48" t="s">
        <v>36</v>
      </c>
      <c r="N375" s="48" t="s">
        <v>18</v>
      </c>
      <c r="O375" s="48" t="s">
        <v>24</v>
      </c>
      <c r="P375" s="48" t="s">
        <v>22</v>
      </c>
      <c r="Q375" s="48" t="s">
        <v>44</v>
      </c>
      <c r="R375" s="156"/>
      <c r="S375" s="56" t="s">
        <v>0</v>
      </c>
      <c r="T375" s="1">
        <v>36.700000000000003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3">
        <f t="shared" si="98"/>
        <v>36.700000000000003</v>
      </c>
      <c r="AB375" s="52">
        <v>2018</v>
      </c>
      <c r="AC375" s="9"/>
      <c r="AD375" s="88"/>
      <c r="AE375" s="88"/>
    </row>
    <row r="376" spans="1:31" ht="16.149999999999999" hidden="1" customHeight="1" x14ac:dyDescent="0.25">
      <c r="A376" s="48" t="s">
        <v>18</v>
      </c>
      <c r="B376" s="48" t="s">
        <v>18</v>
      </c>
      <c r="C376" s="48" t="s">
        <v>21</v>
      </c>
      <c r="D376" s="48" t="s">
        <v>18</v>
      </c>
      <c r="E376" s="48" t="s">
        <v>21</v>
      </c>
      <c r="F376" s="48" t="s">
        <v>18</v>
      </c>
      <c r="G376" s="48" t="s">
        <v>22</v>
      </c>
      <c r="H376" s="48" t="s">
        <v>19</v>
      </c>
      <c r="I376" s="48" t="s">
        <v>24</v>
      </c>
      <c r="J376" s="48" t="s">
        <v>18</v>
      </c>
      <c r="K376" s="48" t="s">
        <v>18</v>
      </c>
      <c r="L376" s="48" t="s">
        <v>20</v>
      </c>
      <c r="M376" s="48" t="s">
        <v>36</v>
      </c>
      <c r="N376" s="48" t="s">
        <v>18</v>
      </c>
      <c r="O376" s="48" t="s">
        <v>24</v>
      </c>
      <c r="P376" s="48" t="s">
        <v>22</v>
      </c>
      <c r="Q376" s="48" t="s">
        <v>38</v>
      </c>
      <c r="R376" s="156"/>
      <c r="S376" s="56" t="s">
        <v>0</v>
      </c>
      <c r="T376" s="1">
        <v>90.3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3">
        <f t="shared" si="98"/>
        <v>90.3</v>
      </c>
      <c r="AB376" s="52">
        <v>2018</v>
      </c>
      <c r="AC376" s="9"/>
      <c r="AD376" s="88"/>
      <c r="AE376" s="88"/>
    </row>
    <row r="377" spans="1:31" ht="52.15" hidden="1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69" t="s">
        <v>204</v>
      </c>
      <c r="S377" s="73" t="s">
        <v>48</v>
      </c>
      <c r="T377" s="40">
        <v>10</v>
      </c>
      <c r="U377" s="40">
        <v>0</v>
      </c>
      <c r="V377" s="40">
        <v>0</v>
      </c>
      <c r="W377" s="40">
        <v>0</v>
      </c>
      <c r="X377" s="40">
        <v>0</v>
      </c>
      <c r="Y377" s="40">
        <v>0</v>
      </c>
      <c r="Z377" s="40">
        <v>0</v>
      </c>
      <c r="AA377" s="43">
        <f t="shared" si="98"/>
        <v>10</v>
      </c>
      <c r="AB377" s="37">
        <v>2018</v>
      </c>
      <c r="AC377" s="9"/>
      <c r="AD377" s="88"/>
      <c r="AE377" s="88"/>
    </row>
    <row r="378" spans="1:31" ht="16.350000000000001" hidden="1" customHeight="1" x14ac:dyDescent="0.25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156" t="s">
        <v>205</v>
      </c>
      <c r="S378" s="56" t="s">
        <v>0</v>
      </c>
      <c r="T378" s="1">
        <f>SUM(T379:T383)</f>
        <v>686.4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3">
        <f t="shared" ref="AA378:AA445" si="104">SUM(T378:Y378)</f>
        <v>686.4</v>
      </c>
      <c r="AB378" s="52">
        <v>2018</v>
      </c>
      <c r="AC378" s="9"/>
      <c r="AD378" s="88"/>
      <c r="AE378" s="88"/>
    </row>
    <row r="379" spans="1:31" ht="16.350000000000001" hidden="1" customHeight="1" x14ac:dyDescent="0.25">
      <c r="A379" s="48" t="s">
        <v>18</v>
      </c>
      <c r="B379" s="48" t="s">
        <v>18</v>
      </c>
      <c r="C379" s="48" t="s">
        <v>21</v>
      </c>
      <c r="D379" s="48" t="s">
        <v>18</v>
      </c>
      <c r="E379" s="48" t="s">
        <v>24</v>
      </c>
      <c r="F379" s="48" t="s">
        <v>18</v>
      </c>
      <c r="G379" s="48" t="s">
        <v>42</v>
      </c>
      <c r="H379" s="48" t="s">
        <v>19</v>
      </c>
      <c r="I379" s="48" t="s">
        <v>24</v>
      </c>
      <c r="J379" s="48" t="s">
        <v>18</v>
      </c>
      <c r="K379" s="48" t="s">
        <v>18</v>
      </c>
      <c r="L379" s="48" t="s">
        <v>20</v>
      </c>
      <c r="M379" s="48" t="s">
        <v>19</v>
      </c>
      <c r="N379" s="48" t="s">
        <v>18</v>
      </c>
      <c r="O379" s="48" t="s">
        <v>24</v>
      </c>
      <c r="P379" s="48" t="s">
        <v>22</v>
      </c>
      <c r="Q379" s="48" t="s">
        <v>43</v>
      </c>
      <c r="R379" s="156"/>
      <c r="S379" s="56" t="s">
        <v>0</v>
      </c>
      <c r="T379" s="1">
        <v>272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3">
        <f t="shared" si="104"/>
        <v>272</v>
      </c>
      <c r="AB379" s="52">
        <v>2018</v>
      </c>
      <c r="AC379" s="9"/>
      <c r="AD379" s="88"/>
      <c r="AE379" s="88"/>
    </row>
    <row r="380" spans="1:31" ht="16.350000000000001" hidden="1" customHeight="1" x14ac:dyDescent="0.25">
      <c r="A380" s="48" t="s">
        <v>18</v>
      </c>
      <c r="B380" s="48" t="s">
        <v>18</v>
      </c>
      <c r="C380" s="48" t="s">
        <v>21</v>
      </c>
      <c r="D380" s="48" t="s">
        <v>18</v>
      </c>
      <c r="E380" s="48" t="s">
        <v>24</v>
      </c>
      <c r="F380" s="48" t="s">
        <v>18</v>
      </c>
      <c r="G380" s="48" t="s">
        <v>42</v>
      </c>
      <c r="H380" s="48" t="s">
        <v>19</v>
      </c>
      <c r="I380" s="48" t="s">
        <v>24</v>
      </c>
      <c r="J380" s="48" t="s">
        <v>18</v>
      </c>
      <c r="K380" s="48" t="s">
        <v>18</v>
      </c>
      <c r="L380" s="48" t="s">
        <v>20</v>
      </c>
      <c r="M380" s="48" t="s">
        <v>19</v>
      </c>
      <c r="N380" s="48" t="s">
        <v>18</v>
      </c>
      <c r="O380" s="48" t="s">
        <v>42</v>
      </c>
      <c r="P380" s="48" t="s">
        <v>22</v>
      </c>
      <c r="Q380" s="48" t="s">
        <v>166</v>
      </c>
      <c r="R380" s="156"/>
      <c r="S380" s="56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3">
        <f t="shared" si="104"/>
        <v>30</v>
      </c>
      <c r="AB380" s="52">
        <v>2018</v>
      </c>
      <c r="AC380" s="9"/>
      <c r="AD380" s="88"/>
      <c r="AE380" s="88"/>
    </row>
    <row r="381" spans="1:31" ht="16.350000000000001" hidden="1" customHeight="1" x14ac:dyDescent="0.25">
      <c r="A381" s="48" t="s">
        <v>18</v>
      </c>
      <c r="B381" s="48" t="s">
        <v>18</v>
      </c>
      <c r="C381" s="48" t="s">
        <v>21</v>
      </c>
      <c r="D381" s="48" t="s">
        <v>18</v>
      </c>
      <c r="E381" s="48" t="s">
        <v>24</v>
      </c>
      <c r="F381" s="48" t="s">
        <v>18</v>
      </c>
      <c r="G381" s="48" t="s">
        <v>42</v>
      </c>
      <c r="H381" s="48" t="s">
        <v>19</v>
      </c>
      <c r="I381" s="48" t="s">
        <v>24</v>
      </c>
      <c r="J381" s="48" t="s">
        <v>18</v>
      </c>
      <c r="K381" s="48" t="s">
        <v>18</v>
      </c>
      <c r="L381" s="48" t="s">
        <v>20</v>
      </c>
      <c r="M381" s="48" t="s">
        <v>36</v>
      </c>
      <c r="N381" s="48" t="s">
        <v>18</v>
      </c>
      <c r="O381" s="48" t="s">
        <v>24</v>
      </c>
      <c r="P381" s="48" t="s">
        <v>22</v>
      </c>
      <c r="Q381" s="48" t="s">
        <v>44</v>
      </c>
      <c r="R381" s="156"/>
      <c r="S381" s="56" t="s">
        <v>0</v>
      </c>
      <c r="T381" s="1">
        <v>47.3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3">
        <f t="shared" si="104"/>
        <v>47.3</v>
      </c>
      <c r="AB381" s="52">
        <v>2018</v>
      </c>
      <c r="AC381" s="9"/>
      <c r="AD381" s="88"/>
      <c r="AE381" s="88"/>
    </row>
    <row r="382" spans="1:31" ht="16.350000000000001" hidden="1" customHeight="1" x14ac:dyDescent="0.25">
      <c r="A382" s="48" t="s">
        <v>18</v>
      </c>
      <c r="B382" s="48" t="s">
        <v>18</v>
      </c>
      <c r="C382" s="48" t="s">
        <v>21</v>
      </c>
      <c r="D382" s="48" t="s">
        <v>18</v>
      </c>
      <c r="E382" s="48" t="s">
        <v>24</v>
      </c>
      <c r="F382" s="48" t="s">
        <v>18</v>
      </c>
      <c r="G382" s="48" t="s">
        <v>42</v>
      </c>
      <c r="H382" s="48" t="s">
        <v>19</v>
      </c>
      <c r="I382" s="48" t="s">
        <v>24</v>
      </c>
      <c r="J382" s="48" t="s">
        <v>18</v>
      </c>
      <c r="K382" s="48" t="s">
        <v>18</v>
      </c>
      <c r="L382" s="48" t="s">
        <v>20</v>
      </c>
      <c r="M382" s="48" t="s">
        <v>36</v>
      </c>
      <c r="N382" s="48" t="s">
        <v>18</v>
      </c>
      <c r="O382" s="48" t="s">
        <v>24</v>
      </c>
      <c r="P382" s="48" t="s">
        <v>22</v>
      </c>
      <c r="Q382" s="48" t="s">
        <v>44</v>
      </c>
      <c r="R382" s="156"/>
      <c r="S382" s="56" t="s">
        <v>0</v>
      </c>
      <c r="T382" s="1">
        <v>68.599999999999994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3">
        <f t="shared" si="104"/>
        <v>68.599999999999994</v>
      </c>
      <c r="AB382" s="52">
        <v>2018</v>
      </c>
      <c r="AC382" s="9"/>
      <c r="AD382" s="88"/>
      <c r="AE382" s="88"/>
    </row>
    <row r="383" spans="1:31" ht="16.350000000000001" hidden="1" customHeight="1" x14ac:dyDescent="0.25">
      <c r="A383" s="48" t="s">
        <v>18</v>
      </c>
      <c r="B383" s="48" t="s">
        <v>18</v>
      </c>
      <c r="C383" s="48" t="s">
        <v>21</v>
      </c>
      <c r="D383" s="48" t="s">
        <v>18</v>
      </c>
      <c r="E383" s="48" t="s">
        <v>24</v>
      </c>
      <c r="F383" s="48" t="s">
        <v>18</v>
      </c>
      <c r="G383" s="48" t="s">
        <v>42</v>
      </c>
      <c r="H383" s="48" t="s">
        <v>19</v>
      </c>
      <c r="I383" s="48" t="s">
        <v>24</v>
      </c>
      <c r="J383" s="48" t="s">
        <v>18</v>
      </c>
      <c r="K383" s="48" t="s">
        <v>18</v>
      </c>
      <c r="L383" s="48" t="s">
        <v>20</v>
      </c>
      <c r="M383" s="48" t="s">
        <v>36</v>
      </c>
      <c r="N383" s="48" t="s">
        <v>18</v>
      </c>
      <c r="O383" s="48" t="s">
        <v>24</v>
      </c>
      <c r="P383" s="48" t="s">
        <v>22</v>
      </c>
      <c r="Q383" s="48" t="s">
        <v>38</v>
      </c>
      <c r="R383" s="156"/>
      <c r="S383" s="56" t="s">
        <v>0</v>
      </c>
      <c r="T383" s="1">
        <v>268.5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3">
        <f t="shared" si="104"/>
        <v>268.5</v>
      </c>
      <c r="AB383" s="52">
        <v>2018</v>
      </c>
      <c r="AC383" s="9"/>
      <c r="AD383" s="88"/>
      <c r="AE383" s="88"/>
    </row>
    <row r="384" spans="1:31" ht="53.45" hidden="1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67" t="s">
        <v>206</v>
      </c>
      <c r="S384" s="73" t="s">
        <v>163</v>
      </c>
      <c r="T384" s="3">
        <v>285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6">
        <f t="shared" si="104"/>
        <v>285</v>
      </c>
      <c r="AB384" s="37">
        <v>2018</v>
      </c>
      <c r="AC384" s="9"/>
      <c r="AD384" s="88"/>
      <c r="AE384" s="88"/>
    </row>
    <row r="385" spans="1:31" ht="16.350000000000001" hidden="1" customHeight="1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156" t="s">
        <v>207</v>
      </c>
      <c r="S385" s="56" t="s">
        <v>0</v>
      </c>
      <c r="T385" s="1">
        <f>SUM(T386:T390)</f>
        <v>657.90000000000009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3">
        <f t="shared" si="104"/>
        <v>657.90000000000009</v>
      </c>
      <c r="AB385" s="52">
        <v>2018</v>
      </c>
      <c r="AC385" s="9"/>
      <c r="AD385" s="88"/>
      <c r="AE385" s="88"/>
    </row>
    <row r="386" spans="1:31" ht="16.350000000000001" hidden="1" customHeight="1" x14ac:dyDescent="0.25">
      <c r="A386" s="48" t="s">
        <v>18</v>
      </c>
      <c r="B386" s="48" t="s">
        <v>18</v>
      </c>
      <c r="C386" s="48" t="s">
        <v>21</v>
      </c>
      <c r="D386" s="48" t="s">
        <v>18</v>
      </c>
      <c r="E386" s="48" t="s">
        <v>21</v>
      </c>
      <c r="F386" s="48" t="s">
        <v>18</v>
      </c>
      <c r="G386" s="48" t="s">
        <v>22</v>
      </c>
      <c r="H386" s="48" t="s">
        <v>19</v>
      </c>
      <c r="I386" s="48" t="s">
        <v>24</v>
      </c>
      <c r="J386" s="48" t="s">
        <v>18</v>
      </c>
      <c r="K386" s="48" t="s">
        <v>18</v>
      </c>
      <c r="L386" s="48" t="s">
        <v>20</v>
      </c>
      <c r="M386" s="48" t="s">
        <v>19</v>
      </c>
      <c r="N386" s="48" t="s">
        <v>18</v>
      </c>
      <c r="O386" s="48" t="s">
        <v>24</v>
      </c>
      <c r="P386" s="48" t="s">
        <v>22</v>
      </c>
      <c r="Q386" s="48" t="s">
        <v>43</v>
      </c>
      <c r="R386" s="156"/>
      <c r="S386" s="56" t="s">
        <v>0</v>
      </c>
      <c r="T386" s="1">
        <v>263.10000000000002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3">
        <f t="shared" si="104"/>
        <v>263.10000000000002</v>
      </c>
      <c r="AB386" s="52">
        <v>2018</v>
      </c>
      <c r="AC386" s="9"/>
      <c r="AD386" s="88"/>
      <c r="AE386" s="88"/>
    </row>
    <row r="387" spans="1:31" ht="16.350000000000001" hidden="1" customHeight="1" x14ac:dyDescent="0.25">
      <c r="A387" s="48" t="s">
        <v>18</v>
      </c>
      <c r="B387" s="48" t="s">
        <v>18</v>
      </c>
      <c r="C387" s="48" t="s">
        <v>21</v>
      </c>
      <c r="D387" s="48" t="s">
        <v>18</v>
      </c>
      <c r="E387" s="48" t="s">
        <v>21</v>
      </c>
      <c r="F387" s="48" t="s">
        <v>18</v>
      </c>
      <c r="G387" s="48" t="s">
        <v>22</v>
      </c>
      <c r="H387" s="48" t="s">
        <v>19</v>
      </c>
      <c r="I387" s="48" t="s">
        <v>24</v>
      </c>
      <c r="J387" s="48" t="s">
        <v>18</v>
      </c>
      <c r="K387" s="48" t="s">
        <v>18</v>
      </c>
      <c r="L387" s="48" t="s">
        <v>20</v>
      </c>
      <c r="M387" s="48" t="s">
        <v>19</v>
      </c>
      <c r="N387" s="48" t="s">
        <v>18</v>
      </c>
      <c r="O387" s="48" t="s">
        <v>42</v>
      </c>
      <c r="P387" s="48" t="s">
        <v>22</v>
      </c>
      <c r="Q387" s="48" t="s">
        <v>166</v>
      </c>
      <c r="R387" s="156"/>
      <c r="S387" s="56" t="s">
        <v>0</v>
      </c>
      <c r="T387" s="1">
        <v>40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3">
        <f>SUM(T387:Y387)</f>
        <v>40</v>
      </c>
      <c r="AB387" s="52">
        <v>2018</v>
      </c>
      <c r="AC387" s="9"/>
      <c r="AD387" s="88"/>
      <c r="AE387" s="88"/>
    </row>
    <row r="388" spans="1:31" ht="16.350000000000001" hidden="1" customHeight="1" x14ac:dyDescent="0.25">
      <c r="A388" s="48" t="s">
        <v>18</v>
      </c>
      <c r="B388" s="48" t="s">
        <v>18</v>
      </c>
      <c r="C388" s="48" t="s">
        <v>21</v>
      </c>
      <c r="D388" s="48" t="s">
        <v>18</v>
      </c>
      <c r="E388" s="48" t="s">
        <v>21</v>
      </c>
      <c r="F388" s="48" t="s">
        <v>18</v>
      </c>
      <c r="G388" s="48" t="s">
        <v>22</v>
      </c>
      <c r="H388" s="48" t="s">
        <v>19</v>
      </c>
      <c r="I388" s="48" t="s">
        <v>24</v>
      </c>
      <c r="J388" s="48" t="s">
        <v>18</v>
      </c>
      <c r="K388" s="48" t="s">
        <v>18</v>
      </c>
      <c r="L388" s="48" t="s">
        <v>20</v>
      </c>
      <c r="M388" s="48" t="s">
        <v>36</v>
      </c>
      <c r="N388" s="48" t="s">
        <v>18</v>
      </c>
      <c r="O388" s="48" t="s">
        <v>24</v>
      </c>
      <c r="P388" s="48" t="s">
        <v>22</v>
      </c>
      <c r="Q388" s="48" t="s">
        <v>44</v>
      </c>
      <c r="R388" s="156"/>
      <c r="S388" s="56" t="s">
        <v>0</v>
      </c>
      <c r="T388" s="1">
        <v>5.7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3">
        <f t="shared" si="104"/>
        <v>5.7</v>
      </c>
      <c r="AB388" s="52">
        <v>2018</v>
      </c>
      <c r="AC388" s="9"/>
      <c r="AD388" s="88"/>
      <c r="AE388" s="88"/>
    </row>
    <row r="389" spans="1:31" ht="16.350000000000001" hidden="1" customHeight="1" x14ac:dyDescent="0.25">
      <c r="A389" s="48" t="s">
        <v>18</v>
      </c>
      <c r="B389" s="48" t="s">
        <v>18</v>
      </c>
      <c r="C389" s="48" t="s">
        <v>21</v>
      </c>
      <c r="D389" s="48" t="s">
        <v>18</v>
      </c>
      <c r="E389" s="48" t="s">
        <v>21</v>
      </c>
      <c r="F389" s="48" t="s">
        <v>18</v>
      </c>
      <c r="G389" s="48" t="s">
        <v>22</v>
      </c>
      <c r="H389" s="48" t="s">
        <v>19</v>
      </c>
      <c r="I389" s="48" t="s">
        <v>24</v>
      </c>
      <c r="J389" s="48" t="s">
        <v>18</v>
      </c>
      <c r="K389" s="48" t="s">
        <v>18</v>
      </c>
      <c r="L389" s="48" t="s">
        <v>20</v>
      </c>
      <c r="M389" s="48" t="s">
        <v>36</v>
      </c>
      <c r="N389" s="48" t="s">
        <v>18</v>
      </c>
      <c r="O389" s="48" t="s">
        <v>24</v>
      </c>
      <c r="P389" s="48" t="s">
        <v>22</v>
      </c>
      <c r="Q389" s="48" t="s">
        <v>44</v>
      </c>
      <c r="R389" s="156"/>
      <c r="S389" s="56" t="s">
        <v>0</v>
      </c>
      <c r="T389" s="1">
        <v>98.8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3">
        <f t="shared" si="104"/>
        <v>98.8</v>
      </c>
      <c r="AB389" s="52">
        <v>2018</v>
      </c>
      <c r="AC389" s="9"/>
      <c r="AD389" s="88"/>
      <c r="AE389" s="88"/>
    </row>
    <row r="390" spans="1:31" ht="16.350000000000001" hidden="1" customHeight="1" x14ac:dyDescent="0.25">
      <c r="A390" s="48" t="s">
        <v>18</v>
      </c>
      <c r="B390" s="48" t="s">
        <v>18</v>
      </c>
      <c r="C390" s="48" t="s">
        <v>21</v>
      </c>
      <c r="D390" s="48" t="s">
        <v>18</v>
      </c>
      <c r="E390" s="48" t="s">
        <v>21</v>
      </c>
      <c r="F390" s="48" t="s">
        <v>18</v>
      </c>
      <c r="G390" s="48" t="s">
        <v>22</v>
      </c>
      <c r="H390" s="48" t="s">
        <v>19</v>
      </c>
      <c r="I390" s="48" t="s">
        <v>24</v>
      </c>
      <c r="J390" s="48" t="s">
        <v>18</v>
      </c>
      <c r="K390" s="48" t="s">
        <v>18</v>
      </c>
      <c r="L390" s="48" t="s">
        <v>20</v>
      </c>
      <c r="M390" s="48" t="s">
        <v>36</v>
      </c>
      <c r="N390" s="48" t="s">
        <v>18</v>
      </c>
      <c r="O390" s="48" t="s">
        <v>24</v>
      </c>
      <c r="P390" s="48" t="s">
        <v>22</v>
      </c>
      <c r="Q390" s="48" t="s">
        <v>38</v>
      </c>
      <c r="R390" s="156"/>
      <c r="S390" s="56" t="s">
        <v>0</v>
      </c>
      <c r="T390" s="1">
        <v>250.3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3">
        <f t="shared" si="104"/>
        <v>250.3</v>
      </c>
      <c r="AB390" s="52">
        <v>2018</v>
      </c>
      <c r="AC390" s="9"/>
      <c r="AD390" s="88"/>
      <c r="AE390" s="88"/>
    </row>
    <row r="391" spans="1:31" ht="37.15" hidden="1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69" t="s">
        <v>208</v>
      </c>
      <c r="S391" s="73" t="s">
        <v>163</v>
      </c>
      <c r="T391" s="3">
        <v>443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6">
        <f t="shared" si="104"/>
        <v>443</v>
      </c>
      <c r="AB391" s="37">
        <v>2018</v>
      </c>
      <c r="AC391" s="9"/>
      <c r="AD391" s="88"/>
      <c r="AE391" s="88"/>
    </row>
    <row r="392" spans="1:31" ht="18.600000000000001" hidden="1" customHeight="1" x14ac:dyDescent="0.25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156" t="s">
        <v>209</v>
      </c>
      <c r="S392" s="56" t="s">
        <v>0</v>
      </c>
      <c r="T392" s="1">
        <f>SUM(T393:T397)</f>
        <v>1100.4000000000001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3">
        <f t="shared" si="104"/>
        <v>1100.4000000000001</v>
      </c>
      <c r="AB392" s="52">
        <v>2018</v>
      </c>
      <c r="AC392" s="9"/>
      <c r="AD392" s="88"/>
      <c r="AE392" s="88"/>
    </row>
    <row r="393" spans="1:31" ht="16.350000000000001" hidden="1" customHeight="1" x14ac:dyDescent="0.25">
      <c r="A393" s="48" t="s">
        <v>18</v>
      </c>
      <c r="B393" s="48" t="s">
        <v>18</v>
      </c>
      <c r="C393" s="48" t="s">
        <v>21</v>
      </c>
      <c r="D393" s="48" t="s">
        <v>18</v>
      </c>
      <c r="E393" s="48" t="s">
        <v>21</v>
      </c>
      <c r="F393" s="48" t="s">
        <v>18</v>
      </c>
      <c r="G393" s="48" t="s">
        <v>22</v>
      </c>
      <c r="H393" s="48" t="s">
        <v>19</v>
      </c>
      <c r="I393" s="48" t="s">
        <v>24</v>
      </c>
      <c r="J393" s="48" t="s">
        <v>18</v>
      </c>
      <c r="K393" s="48" t="s">
        <v>18</v>
      </c>
      <c r="L393" s="48" t="s">
        <v>20</v>
      </c>
      <c r="M393" s="48" t="s">
        <v>19</v>
      </c>
      <c r="N393" s="48" t="s">
        <v>18</v>
      </c>
      <c r="O393" s="48" t="s">
        <v>24</v>
      </c>
      <c r="P393" s="48" t="s">
        <v>22</v>
      </c>
      <c r="Q393" s="48" t="s">
        <v>43</v>
      </c>
      <c r="R393" s="156"/>
      <c r="S393" s="56" t="s">
        <v>0</v>
      </c>
      <c r="T393" s="1">
        <v>400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3">
        <f t="shared" si="104"/>
        <v>400</v>
      </c>
      <c r="AB393" s="52">
        <v>2018</v>
      </c>
      <c r="AC393" s="9"/>
      <c r="AD393" s="88"/>
      <c r="AE393" s="88"/>
    </row>
    <row r="394" spans="1:31" ht="16.350000000000001" hidden="1" customHeight="1" x14ac:dyDescent="0.25">
      <c r="A394" s="48" t="s">
        <v>18</v>
      </c>
      <c r="B394" s="48" t="s">
        <v>18</v>
      </c>
      <c r="C394" s="48" t="s">
        <v>21</v>
      </c>
      <c r="D394" s="48" t="s">
        <v>18</v>
      </c>
      <c r="E394" s="48" t="s">
        <v>21</v>
      </c>
      <c r="F394" s="48" t="s">
        <v>18</v>
      </c>
      <c r="G394" s="48" t="s">
        <v>22</v>
      </c>
      <c r="H394" s="48" t="s">
        <v>19</v>
      </c>
      <c r="I394" s="48" t="s">
        <v>24</v>
      </c>
      <c r="J394" s="48" t="s">
        <v>18</v>
      </c>
      <c r="K394" s="48" t="s">
        <v>18</v>
      </c>
      <c r="L394" s="48" t="s">
        <v>20</v>
      </c>
      <c r="M394" s="48" t="s">
        <v>19</v>
      </c>
      <c r="N394" s="48" t="s">
        <v>18</v>
      </c>
      <c r="O394" s="48" t="s">
        <v>42</v>
      </c>
      <c r="P394" s="48" t="s">
        <v>22</v>
      </c>
      <c r="Q394" s="48" t="s">
        <v>166</v>
      </c>
      <c r="R394" s="156"/>
      <c r="S394" s="56" t="s">
        <v>0</v>
      </c>
      <c r="T394" s="1">
        <v>40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3">
        <f t="shared" si="104"/>
        <v>40</v>
      </c>
      <c r="AB394" s="52">
        <v>2018</v>
      </c>
      <c r="AC394" s="9"/>
      <c r="AD394" s="88"/>
      <c r="AE394" s="88"/>
    </row>
    <row r="395" spans="1:31" ht="16.350000000000001" hidden="1" customHeight="1" x14ac:dyDescent="0.25">
      <c r="A395" s="48" t="s">
        <v>18</v>
      </c>
      <c r="B395" s="48" t="s">
        <v>18</v>
      </c>
      <c r="C395" s="48" t="s">
        <v>21</v>
      </c>
      <c r="D395" s="48" t="s">
        <v>18</v>
      </c>
      <c r="E395" s="48" t="s">
        <v>21</v>
      </c>
      <c r="F395" s="48" t="s">
        <v>18</v>
      </c>
      <c r="G395" s="48" t="s">
        <v>22</v>
      </c>
      <c r="H395" s="48" t="s">
        <v>19</v>
      </c>
      <c r="I395" s="48" t="s">
        <v>24</v>
      </c>
      <c r="J395" s="48" t="s">
        <v>18</v>
      </c>
      <c r="K395" s="48" t="s">
        <v>18</v>
      </c>
      <c r="L395" s="48" t="s">
        <v>20</v>
      </c>
      <c r="M395" s="48" t="s">
        <v>36</v>
      </c>
      <c r="N395" s="48" t="s">
        <v>18</v>
      </c>
      <c r="O395" s="48" t="s">
        <v>24</v>
      </c>
      <c r="P395" s="48" t="s">
        <v>22</v>
      </c>
      <c r="Q395" s="48" t="s">
        <v>44</v>
      </c>
      <c r="R395" s="156"/>
      <c r="S395" s="56" t="s">
        <v>0</v>
      </c>
      <c r="T395" s="1">
        <v>30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3">
        <f t="shared" si="104"/>
        <v>30</v>
      </c>
      <c r="AB395" s="52">
        <v>2018</v>
      </c>
      <c r="AC395" s="9"/>
      <c r="AD395" s="88"/>
      <c r="AE395" s="88"/>
    </row>
    <row r="396" spans="1:31" ht="16.350000000000001" hidden="1" customHeight="1" x14ac:dyDescent="0.25">
      <c r="A396" s="48" t="s">
        <v>18</v>
      </c>
      <c r="B396" s="48" t="s">
        <v>18</v>
      </c>
      <c r="C396" s="48" t="s">
        <v>21</v>
      </c>
      <c r="D396" s="48" t="s">
        <v>18</v>
      </c>
      <c r="E396" s="48" t="s">
        <v>21</v>
      </c>
      <c r="F396" s="48" t="s">
        <v>18</v>
      </c>
      <c r="G396" s="48" t="s">
        <v>22</v>
      </c>
      <c r="H396" s="48" t="s">
        <v>19</v>
      </c>
      <c r="I396" s="48" t="s">
        <v>24</v>
      </c>
      <c r="J396" s="48" t="s">
        <v>18</v>
      </c>
      <c r="K396" s="48" t="s">
        <v>18</v>
      </c>
      <c r="L396" s="48" t="s">
        <v>20</v>
      </c>
      <c r="M396" s="48" t="s">
        <v>36</v>
      </c>
      <c r="N396" s="48" t="s">
        <v>18</v>
      </c>
      <c r="O396" s="48" t="s">
        <v>24</v>
      </c>
      <c r="P396" s="48" t="s">
        <v>22</v>
      </c>
      <c r="Q396" s="48" t="s">
        <v>44</v>
      </c>
      <c r="R396" s="156"/>
      <c r="S396" s="56" t="s">
        <v>0</v>
      </c>
      <c r="T396" s="1">
        <v>166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3">
        <f t="shared" si="104"/>
        <v>166</v>
      </c>
      <c r="AB396" s="52">
        <v>2018</v>
      </c>
      <c r="AC396" s="9"/>
      <c r="AD396" s="88"/>
      <c r="AE396" s="88"/>
    </row>
    <row r="397" spans="1:31" ht="16.350000000000001" hidden="1" customHeight="1" x14ac:dyDescent="0.25">
      <c r="A397" s="48" t="s">
        <v>18</v>
      </c>
      <c r="B397" s="48" t="s">
        <v>18</v>
      </c>
      <c r="C397" s="48" t="s">
        <v>21</v>
      </c>
      <c r="D397" s="48" t="s">
        <v>18</v>
      </c>
      <c r="E397" s="48" t="s">
        <v>21</v>
      </c>
      <c r="F397" s="48" t="s">
        <v>18</v>
      </c>
      <c r="G397" s="48" t="s">
        <v>22</v>
      </c>
      <c r="H397" s="48" t="s">
        <v>19</v>
      </c>
      <c r="I397" s="48" t="s">
        <v>24</v>
      </c>
      <c r="J397" s="48" t="s">
        <v>18</v>
      </c>
      <c r="K397" s="48" t="s">
        <v>18</v>
      </c>
      <c r="L397" s="48" t="s">
        <v>20</v>
      </c>
      <c r="M397" s="48" t="s">
        <v>36</v>
      </c>
      <c r="N397" s="48" t="s">
        <v>18</v>
      </c>
      <c r="O397" s="48" t="s">
        <v>24</v>
      </c>
      <c r="P397" s="48" t="s">
        <v>22</v>
      </c>
      <c r="Q397" s="48" t="s">
        <v>38</v>
      </c>
      <c r="R397" s="156"/>
      <c r="S397" s="56" t="s">
        <v>0</v>
      </c>
      <c r="T397" s="1">
        <v>464.4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53">
        <f t="shared" si="104"/>
        <v>464.4</v>
      </c>
      <c r="AB397" s="52">
        <v>2018</v>
      </c>
      <c r="AC397" s="9"/>
      <c r="AD397" s="88"/>
      <c r="AE397" s="88"/>
    </row>
    <row r="398" spans="1:31" ht="37.15" hidden="1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69" t="s">
        <v>210</v>
      </c>
      <c r="S398" s="73" t="s">
        <v>163</v>
      </c>
      <c r="T398" s="3">
        <v>930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6">
        <f t="shared" si="104"/>
        <v>930</v>
      </c>
      <c r="AB398" s="37">
        <v>2018</v>
      </c>
      <c r="AC398" s="9"/>
      <c r="AD398" s="88"/>
      <c r="AE398" s="88"/>
    </row>
    <row r="399" spans="1:31" ht="22.15" hidden="1" customHeight="1" x14ac:dyDescent="0.25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156" t="s">
        <v>211</v>
      </c>
      <c r="S399" s="56" t="s">
        <v>0</v>
      </c>
      <c r="T399" s="1">
        <f>SUM(T400:T404)</f>
        <v>1421.6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3">
        <f t="shared" si="104"/>
        <v>1421.6</v>
      </c>
      <c r="AB399" s="52">
        <v>2018</v>
      </c>
      <c r="AC399" s="9"/>
      <c r="AD399" s="88"/>
      <c r="AE399" s="88"/>
    </row>
    <row r="400" spans="1:31" ht="16.350000000000001" hidden="1" customHeight="1" x14ac:dyDescent="0.25">
      <c r="A400" s="48" t="s">
        <v>18</v>
      </c>
      <c r="B400" s="48" t="s">
        <v>18</v>
      </c>
      <c r="C400" s="48" t="s">
        <v>21</v>
      </c>
      <c r="D400" s="48" t="s">
        <v>18</v>
      </c>
      <c r="E400" s="48" t="s">
        <v>21</v>
      </c>
      <c r="F400" s="48" t="s">
        <v>18</v>
      </c>
      <c r="G400" s="48" t="s">
        <v>22</v>
      </c>
      <c r="H400" s="48" t="s">
        <v>19</v>
      </c>
      <c r="I400" s="48" t="s">
        <v>24</v>
      </c>
      <c r="J400" s="48" t="s">
        <v>18</v>
      </c>
      <c r="K400" s="48" t="s">
        <v>18</v>
      </c>
      <c r="L400" s="48" t="s">
        <v>20</v>
      </c>
      <c r="M400" s="48" t="s">
        <v>19</v>
      </c>
      <c r="N400" s="48" t="s">
        <v>18</v>
      </c>
      <c r="O400" s="48" t="s">
        <v>24</v>
      </c>
      <c r="P400" s="48" t="s">
        <v>22</v>
      </c>
      <c r="Q400" s="48" t="s">
        <v>43</v>
      </c>
      <c r="R400" s="156"/>
      <c r="S400" s="56" t="s">
        <v>0</v>
      </c>
      <c r="T400" s="1">
        <v>400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3">
        <f t="shared" si="104"/>
        <v>400</v>
      </c>
      <c r="AB400" s="52">
        <v>2018</v>
      </c>
      <c r="AC400" s="9"/>
      <c r="AD400" s="88"/>
      <c r="AE400" s="88"/>
    </row>
    <row r="401" spans="1:31" ht="16.350000000000001" hidden="1" customHeight="1" x14ac:dyDescent="0.25">
      <c r="A401" s="48" t="s">
        <v>18</v>
      </c>
      <c r="B401" s="48" t="s">
        <v>18</v>
      </c>
      <c r="C401" s="48" t="s">
        <v>21</v>
      </c>
      <c r="D401" s="48" t="s">
        <v>18</v>
      </c>
      <c r="E401" s="48" t="s">
        <v>21</v>
      </c>
      <c r="F401" s="48" t="s">
        <v>18</v>
      </c>
      <c r="G401" s="48" t="s">
        <v>22</v>
      </c>
      <c r="H401" s="48" t="s">
        <v>19</v>
      </c>
      <c r="I401" s="48" t="s">
        <v>24</v>
      </c>
      <c r="J401" s="48" t="s">
        <v>18</v>
      </c>
      <c r="K401" s="48" t="s">
        <v>18</v>
      </c>
      <c r="L401" s="48" t="s">
        <v>20</v>
      </c>
      <c r="M401" s="48" t="s">
        <v>19</v>
      </c>
      <c r="N401" s="48" t="s">
        <v>18</v>
      </c>
      <c r="O401" s="48" t="s">
        <v>42</v>
      </c>
      <c r="P401" s="48" t="s">
        <v>22</v>
      </c>
      <c r="Q401" s="48" t="s">
        <v>166</v>
      </c>
      <c r="R401" s="156"/>
      <c r="S401" s="56" t="s">
        <v>0</v>
      </c>
      <c r="T401" s="1">
        <v>50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3">
        <f>SUM(T401:Y401)</f>
        <v>50</v>
      </c>
      <c r="AB401" s="52">
        <v>2018</v>
      </c>
      <c r="AC401" s="9"/>
      <c r="AD401" s="88"/>
      <c r="AE401" s="88"/>
    </row>
    <row r="402" spans="1:31" ht="16.350000000000001" hidden="1" customHeight="1" x14ac:dyDescent="0.25">
      <c r="A402" s="48" t="s">
        <v>18</v>
      </c>
      <c r="B402" s="48" t="s">
        <v>18</v>
      </c>
      <c r="C402" s="48" t="s">
        <v>21</v>
      </c>
      <c r="D402" s="48" t="s">
        <v>18</v>
      </c>
      <c r="E402" s="48" t="s">
        <v>21</v>
      </c>
      <c r="F402" s="48" t="s">
        <v>18</v>
      </c>
      <c r="G402" s="48" t="s">
        <v>22</v>
      </c>
      <c r="H402" s="48" t="s">
        <v>19</v>
      </c>
      <c r="I402" s="48" t="s">
        <v>24</v>
      </c>
      <c r="J402" s="48" t="s">
        <v>18</v>
      </c>
      <c r="K402" s="48" t="s">
        <v>18</v>
      </c>
      <c r="L402" s="48" t="s">
        <v>20</v>
      </c>
      <c r="M402" s="48" t="s">
        <v>36</v>
      </c>
      <c r="N402" s="48" t="s">
        <v>18</v>
      </c>
      <c r="O402" s="48" t="s">
        <v>24</v>
      </c>
      <c r="P402" s="48" t="s">
        <v>22</v>
      </c>
      <c r="Q402" s="48" t="s">
        <v>44</v>
      </c>
      <c r="R402" s="156"/>
      <c r="S402" s="56" t="s">
        <v>0</v>
      </c>
      <c r="T402" s="1">
        <v>83.1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3">
        <f t="shared" si="104"/>
        <v>83.1</v>
      </c>
      <c r="AB402" s="52">
        <v>2018</v>
      </c>
      <c r="AC402" s="9"/>
      <c r="AD402" s="88"/>
      <c r="AE402" s="88"/>
    </row>
    <row r="403" spans="1:31" ht="16.350000000000001" hidden="1" customHeight="1" x14ac:dyDescent="0.25">
      <c r="A403" s="48" t="s">
        <v>18</v>
      </c>
      <c r="B403" s="48" t="s">
        <v>18</v>
      </c>
      <c r="C403" s="48" t="s">
        <v>21</v>
      </c>
      <c r="D403" s="48" t="s">
        <v>18</v>
      </c>
      <c r="E403" s="48" t="s">
        <v>21</v>
      </c>
      <c r="F403" s="48" t="s">
        <v>18</v>
      </c>
      <c r="G403" s="48" t="s">
        <v>22</v>
      </c>
      <c r="H403" s="48" t="s">
        <v>19</v>
      </c>
      <c r="I403" s="48" t="s">
        <v>24</v>
      </c>
      <c r="J403" s="48" t="s">
        <v>18</v>
      </c>
      <c r="K403" s="48" t="s">
        <v>18</v>
      </c>
      <c r="L403" s="48" t="s">
        <v>20</v>
      </c>
      <c r="M403" s="48" t="s">
        <v>36</v>
      </c>
      <c r="N403" s="48" t="s">
        <v>18</v>
      </c>
      <c r="O403" s="48" t="s">
        <v>24</v>
      </c>
      <c r="P403" s="48" t="s">
        <v>22</v>
      </c>
      <c r="Q403" s="48" t="s">
        <v>44</v>
      </c>
      <c r="R403" s="156"/>
      <c r="S403" s="56" t="s">
        <v>0</v>
      </c>
      <c r="T403" s="1">
        <v>143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3">
        <f t="shared" si="104"/>
        <v>143</v>
      </c>
      <c r="AB403" s="52">
        <v>2018</v>
      </c>
      <c r="AC403" s="9"/>
      <c r="AD403" s="88"/>
      <c r="AE403" s="88"/>
    </row>
    <row r="404" spans="1:31" ht="16.350000000000001" hidden="1" customHeight="1" x14ac:dyDescent="0.25">
      <c r="A404" s="48" t="s">
        <v>18</v>
      </c>
      <c r="B404" s="48" t="s">
        <v>18</v>
      </c>
      <c r="C404" s="48" t="s">
        <v>21</v>
      </c>
      <c r="D404" s="48" t="s">
        <v>18</v>
      </c>
      <c r="E404" s="48" t="s">
        <v>21</v>
      </c>
      <c r="F404" s="48" t="s">
        <v>18</v>
      </c>
      <c r="G404" s="48" t="s">
        <v>22</v>
      </c>
      <c r="H404" s="48" t="s">
        <v>19</v>
      </c>
      <c r="I404" s="48" t="s">
        <v>24</v>
      </c>
      <c r="J404" s="48" t="s">
        <v>18</v>
      </c>
      <c r="K404" s="48" t="s">
        <v>18</v>
      </c>
      <c r="L404" s="48" t="s">
        <v>20</v>
      </c>
      <c r="M404" s="48" t="s">
        <v>36</v>
      </c>
      <c r="N404" s="48" t="s">
        <v>18</v>
      </c>
      <c r="O404" s="48" t="s">
        <v>24</v>
      </c>
      <c r="P404" s="48" t="s">
        <v>22</v>
      </c>
      <c r="Q404" s="48" t="s">
        <v>38</v>
      </c>
      <c r="R404" s="156"/>
      <c r="S404" s="56" t="s">
        <v>0</v>
      </c>
      <c r="T404" s="1">
        <v>745.5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3">
        <f t="shared" si="104"/>
        <v>745.5</v>
      </c>
      <c r="AB404" s="52">
        <v>2018</v>
      </c>
      <c r="AC404" s="9"/>
      <c r="AD404" s="88"/>
      <c r="AE404" s="88"/>
    </row>
    <row r="405" spans="1:31" ht="36.6" hidden="1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69" t="s">
        <v>212</v>
      </c>
      <c r="S405" s="73" t="s">
        <v>163</v>
      </c>
      <c r="T405" s="3">
        <v>1070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6">
        <f t="shared" si="104"/>
        <v>1070</v>
      </c>
      <c r="AB405" s="37">
        <v>2018</v>
      </c>
      <c r="AC405" s="9"/>
      <c r="AD405" s="88"/>
      <c r="AE405" s="88"/>
    </row>
    <row r="406" spans="1:31" ht="19.899999999999999" hidden="1" customHeight="1" x14ac:dyDescent="0.25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156" t="s">
        <v>213</v>
      </c>
      <c r="S406" s="56" t="s">
        <v>0</v>
      </c>
      <c r="T406" s="1">
        <f>SUM(T407:T411)</f>
        <v>263.89999999999998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3">
        <f t="shared" si="104"/>
        <v>263.89999999999998</v>
      </c>
      <c r="AB406" s="52">
        <v>2018</v>
      </c>
      <c r="AC406" s="9"/>
      <c r="AD406" s="88"/>
      <c r="AE406" s="88"/>
    </row>
    <row r="407" spans="1:31" ht="16.350000000000001" hidden="1" customHeight="1" x14ac:dyDescent="0.25">
      <c r="A407" s="48" t="s">
        <v>18</v>
      </c>
      <c r="B407" s="48" t="s">
        <v>18</v>
      </c>
      <c r="C407" s="48" t="s">
        <v>21</v>
      </c>
      <c r="D407" s="48" t="s">
        <v>18</v>
      </c>
      <c r="E407" s="48" t="s">
        <v>21</v>
      </c>
      <c r="F407" s="48" t="s">
        <v>18</v>
      </c>
      <c r="G407" s="48" t="s">
        <v>22</v>
      </c>
      <c r="H407" s="48" t="s">
        <v>19</v>
      </c>
      <c r="I407" s="48" t="s">
        <v>24</v>
      </c>
      <c r="J407" s="48" t="s">
        <v>18</v>
      </c>
      <c r="K407" s="48" t="s">
        <v>18</v>
      </c>
      <c r="L407" s="48" t="s">
        <v>20</v>
      </c>
      <c r="M407" s="48" t="s">
        <v>19</v>
      </c>
      <c r="N407" s="48" t="s">
        <v>18</v>
      </c>
      <c r="O407" s="48" t="s">
        <v>24</v>
      </c>
      <c r="P407" s="48" t="s">
        <v>22</v>
      </c>
      <c r="Q407" s="48" t="s">
        <v>43</v>
      </c>
      <c r="R407" s="156"/>
      <c r="S407" s="56" t="s">
        <v>0</v>
      </c>
      <c r="T407" s="1">
        <v>105.5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3">
        <f t="shared" si="104"/>
        <v>105.5</v>
      </c>
      <c r="AB407" s="52">
        <v>2018</v>
      </c>
      <c r="AC407" s="9"/>
      <c r="AD407" s="88"/>
      <c r="AE407" s="88"/>
    </row>
    <row r="408" spans="1:31" ht="16.350000000000001" hidden="1" customHeight="1" x14ac:dyDescent="0.25">
      <c r="A408" s="48" t="s">
        <v>18</v>
      </c>
      <c r="B408" s="48" t="s">
        <v>18</v>
      </c>
      <c r="C408" s="48" t="s">
        <v>21</v>
      </c>
      <c r="D408" s="48" t="s">
        <v>18</v>
      </c>
      <c r="E408" s="48" t="s">
        <v>21</v>
      </c>
      <c r="F408" s="48" t="s">
        <v>18</v>
      </c>
      <c r="G408" s="48" t="s">
        <v>22</v>
      </c>
      <c r="H408" s="48" t="s">
        <v>19</v>
      </c>
      <c r="I408" s="48" t="s">
        <v>24</v>
      </c>
      <c r="J408" s="48" t="s">
        <v>18</v>
      </c>
      <c r="K408" s="48" t="s">
        <v>18</v>
      </c>
      <c r="L408" s="48" t="s">
        <v>20</v>
      </c>
      <c r="M408" s="48" t="s">
        <v>19</v>
      </c>
      <c r="N408" s="48" t="s">
        <v>18</v>
      </c>
      <c r="O408" s="48" t="s">
        <v>42</v>
      </c>
      <c r="P408" s="48" t="s">
        <v>22</v>
      </c>
      <c r="Q408" s="48" t="s">
        <v>166</v>
      </c>
      <c r="R408" s="156"/>
      <c r="S408" s="56" t="s">
        <v>0</v>
      </c>
      <c r="T408" s="1">
        <v>20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3">
        <f t="shared" si="104"/>
        <v>20</v>
      </c>
      <c r="AB408" s="52">
        <v>2018</v>
      </c>
      <c r="AC408" s="9"/>
      <c r="AD408" s="88"/>
      <c r="AE408" s="88"/>
    </row>
    <row r="409" spans="1:31" ht="16.350000000000001" hidden="1" customHeight="1" x14ac:dyDescent="0.25">
      <c r="A409" s="48" t="s">
        <v>18</v>
      </c>
      <c r="B409" s="48" t="s">
        <v>18</v>
      </c>
      <c r="C409" s="48" t="s">
        <v>21</v>
      </c>
      <c r="D409" s="48" t="s">
        <v>18</v>
      </c>
      <c r="E409" s="48" t="s">
        <v>21</v>
      </c>
      <c r="F409" s="48" t="s">
        <v>18</v>
      </c>
      <c r="G409" s="48" t="s">
        <v>22</v>
      </c>
      <c r="H409" s="48" t="s">
        <v>19</v>
      </c>
      <c r="I409" s="48" t="s">
        <v>24</v>
      </c>
      <c r="J409" s="48" t="s">
        <v>18</v>
      </c>
      <c r="K409" s="48" t="s">
        <v>18</v>
      </c>
      <c r="L409" s="48" t="s">
        <v>20</v>
      </c>
      <c r="M409" s="48" t="s">
        <v>36</v>
      </c>
      <c r="N409" s="48" t="s">
        <v>18</v>
      </c>
      <c r="O409" s="48" t="s">
        <v>24</v>
      </c>
      <c r="P409" s="48" t="s">
        <v>22</v>
      </c>
      <c r="Q409" s="48" t="s">
        <v>44</v>
      </c>
      <c r="R409" s="156"/>
      <c r="S409" s="56" t="s">
        <v>0</v>
      </c>
      <c r="T409" s="1">
        <v>19.399999999999999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3">
        <f t="shared" si="104"/>
        <v>19.399999999999999</v>
      </c>
      <c r="AB409" s="52">
        <v>2018</v>
      </c>
      <c r="AC409" s="9"/>
      <c r="AD409" s="88"/>
      <c r="AE409" s="88"/>
    </row>
    <row r="410" spans="1:31" ht="16.350000000000001" hidden="1" customHeight="1" x14ac:dyDescent="0.25">
      <c r="A410" s="48" t="s">
        <v>18</v>
      </c>
      <c r="B410" s="48" t="s">
        <v>18</v>
      </c>
      <c r="C410" s="48" t="s">
        <v>21</v>
      </c>
      <c r="D410" s="48" t="s">
        <v>18</v>
      </c>
      <c r="E410" s="48" t="s">
        <v>21</v>
      </c>
      <c r="F410" s="48" t="s">
        <v>18</v>
      </c>
      <c r="G410" s="48" t="s">
        <v>22</v>
      </c>
      <c r="H410" s="48" t="s">
        <v>19</v>
      </c>
      <c r="I410" s="48" t="s">
        <v>24</v>
      </c>
      <c r="J410" s="48" t="s">
        <v>18</v>
      </c>
      <c r="K410" s="48" t="s">
        <v>18</v>
      </c>
      <c r="L410" s="48" t="s">
        <v>20</v>
      </c>
      <c r="M410" s="48" t="s">
        <v>36</v>
      </c>
      <c r="N410" s="48" t="s">
        <v>18</v>
      </c>
      <c r="O410" s="48" t="s">
        <v>24</v>
      </c>
      <c r="P410" s="48" t="s">
        <v>22</v>
      </c>
      <c r="Q410" s="48" t="s">
        <v>44</v>
      </c>
      <c r="R410" s="156"/>
      <c r="S410" s="56" t="s">
        <v>0</v>
      </c>
      <c r="T410" s="1">
        <v>39.6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53">
        <f t="shared" si="104"/>
        <v>39.6</v>
      </c>
      <c r="AB410" s="52">
        <v>2018</v>
      </c>
      <c r="AC410" s="9"/>
      <c r="AD410" s="88"/>
      <c r="AE410" s="88"/>
    </row>
    <row r="411" spans="1:31" ht="16.350000000000001" hidden="1" customHeight="1" x14ac:dyDescent="0.25">
      <c r="A411" s="48" t="s">
        <v>18</v>
      </c>
      <c r="B411" s="48" t="s">
        <v>18</v>
      </c>
      <c r="C411" s="48" t="s">
        <v>21</v>
      </c>
      <c r="D411" s="48" t="s">
        <v>18</v>
      </c>
      <c r="E411" s="48" t="s">
        <v>21</v>
      </c>
      <c r="F411" s="48" t="s">
        <v>18</v>
      </c>
      <c r="G411" s="48" t="s">
        <v>22</v>
      </c>
      <c r="H411" s="48" t="s">
        <v>19</v>
      </c>
      <c r="I411" s="48" t="s">
        <v>24</v>
      </c>
      <c r="J411" s="48" t="s">
        <v>18</v>
      </c>
      <c r="K411" s="48" t="s">
        <v>18</v>
      </c>
      <c r="L411" s="48" t="s">
        <v>20</v>
      </c>
      <c r="M411" s="48" t="s">
        <v>36</v>
      </c>
      <c r="N411" s="48" t="s">
        <v>18</v>
      </c>
      <c r="O411" s="48" t="s">
        <v>24</v>
      </c>
      <c r="P411" s="48" t="s">
        <v>22</v>
      </c>
      <c r="Q411" s="48" t="s">
        <v>38</v>
      </c>
      <c r="R411" s="156"/>
      <c r="S411" s="56" t="s">
        <v>0</v>
      </c>
      <c r="T411" s="1">
        <v>79.400000000000006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53">
        <f t="shared" si="104"/>
        <v>79.400000000000006</v>
      </c>
      <c r="AB411" s="52">
        <v>2018</v>
      </c>
      <c r="AC411" s="9"/>
      <c r="AD411" s="88"/>
      <c r="AE411" s="88"/>
    </row>
    <row r="412" spans="1:31" ht="36.6" hidden="1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69" t="s">
        <v>214</v>
      </c>
      <c r="S412" s="73" t="s">
        <v>8</v>
      </c>
      <c r="T412" s="40">
        <v>5</v>
      </c>
      <c r="U412" s="40">
        <v>0</v>
      </c>
      <c r="V412" s="40">
        <v>0</v>
      </c>
      <c r="W412" s="40">
        <v>0</v>
      </c>
      <c r="X412" s="40">
        <v>0</v>
      </c>
      <c r="Y412" s="40">
        <v>0</v>
      </c>
      <c r="Z412" s="40">
        <v>0</v>
      </c>
      <c r="AA412" s="6">
        <f t="shared" si="104"/>
        <v>5</v>
      </c>
      <c r="AB412" s="37">
        <v>2018</v>
      </c>
      <c r="AC412" s="9"/>
      <c r="AD412" s="88"/>
      <c r="AE412" s="88"/>
    </row>
    <row r="413" spans="1:31" ht="15.6" hidden="1" customHeight="1" x14ac:dyDescent="0.25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156" t="s">
        <v>215</v>
      </c>
      <c r="S413" s="56" t="s">
        <v>0</v>
      </c>
      <c r="T413" s="1">
        <f>SUM(T414:T418)</f>
        <v>490.3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3">
        <f t="shared" si="104"/>
        <v>490.3</v>
      </c>
      <c r="AB413" s="52">
        <v>2018</v>
      </c>
      <c r="AC413" s="9"/>
      <c r="AD413" s="88"/>
      <c r="AE413" s="88"/>
    </row>
    <row r="414" spans="1:31" ht="15.6" hidden="1" customHeight="1" x14ac:dyDescent="0.25">
      <c r="A414" s="48" t="s">
        <v>18</v>
      </c>
      <c r="B414" s="48" t="s">
        <v>18</v>
      </c>
      <c r="C414" s="48" t="s">
        <v>21</v>
      </c>
      <c r="D414" s="48" t="s">
        <v>18</v>
      </c>
      <c r="E414" s="48" t="s">
        <v>24</v>
      </c>
      <c r="F414" s="48" t="s">
        <v>18</v>
      </c>
      <c r="G414" s="48" t="s">
        <v>42</v>
      </c>
      <c r="H414" s="48" t="s">
        <v>19</v>
      </c>
      <c r="I414" s="48" t="s">
        <v>24</v>
      </c>
      <c r="J414" s="48" t="s">
        <v>18</v>
      </c>
      <c r="K414" s="48" t="s">
        <v>18</v>
      </c>
      <c r="L414" s="48" t="s">
        <v>20</v>
      </c>
      <c r="M414" s="48" t="s">
        <v>19</v>
      </c>
      <c r="N414" s="48" t="s">
        <v>18</v>
      </c>
      <c r="O414" s="48" t="s">
        <v>24</v>
      </c>
      <c r="P414" s="48" t="s">
        <v>22</v>
      </c>
      <c r="Q414" s="48" t="s">
        <v>43</v>
      </c>
      <c r="R414" s="156"/>
      <c r="S414" s="56" t="s">
        <v>0</v>
      </c>
      <c r="T414" s="1">
        <v>196.1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3">
        <f t="shared" si="104"/>
        <v>196.1</v>
      </c>
      <c r="AB414" s="52">
        <v>2018</v>
      </c>
      <c r="AC414" s="9"/>
      <c r="AD414" s="88"/>
      <c r="AE414" s="88"/>
    </row>
    <row r="415" spans="1:31" ht="15.6" hidden="1" customHeight="1" x14ac:dyDescent="0.25">
      <c r="A415" s="48" t="s">
        <v>18</v>
      </c>
      <c r="B415" s="48" t="s">
        <v>18</v>
      </c>
      <c r="C415" s="48" t="s">
        <v>21</v>
      </c>
      <c r="D415" s="48" t="s">
        <v>18</v>
      </c>
      <c r="E415" s="48" t="s">
        <v>24</v>
      </c>
      <c r="F415" s="48" t="s">
        <v>18</v>
      </c>
      <c r="G415" s="48" t="s">
        <v>42</v>
      </c>
      <c r="H415" s="48" t="s">
        <v>19</v>
      </c>
      <c r="I415" s="48" t="s">
        <v>24</v>
      </c>
      <c r="J415" s="48" t="s">
        <v>18</v>
      </c>
      <c r="K415" s="48" t="s">
        <v>18</v>
      </c>
      <c r="L415" s="48" t="s">
        <v>20</v>
      </c>
      <c r="M415" s="48" t="s">
        <v>19</v>
      </c>
      <c r="N415" s="48" t="s">
        <v>18</v>
      </c>
      <c r="O415" s="48" t="s">
        <v>42</v>
      </c>
      <c r="P415" s="48" t="s">
        <v>22</v>
      </c>
      <c r="Q415" s="48" t="s">
        <v>166</v>
      </c>
      <c r="R415" s="156"/>
      <c r="S415" s="56" t="s">
        <v>0</v>
      </c>
      <c r="T415" s="1">
        <v>30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3">
        <f>SUM(T415:Y415)</f>
        <v>30</v>
      </c>
      <c r="AB415" s="52">
        <v>2018</v>
      </c>
      <c r="AC415" s="9"/>
      <c r="AD415" s="88"/>
      <c r="AE415" s="88"/>
    </row>
    <row r="416" spans="1:31" ht="15.6" hidden="1" customHeight="1" x14ac:dyDescent="0.25">
      <c r="A416" s="48" t="s">
        <v>18</v>
      </c>
      <c r="B416" s="48" t="s">
        <v>18</v>
      </c>
      <c r="C416" s="48" t="s">
        <v>21</v>
      </c>
      <c r="D416" s="48" t="s">
        <v>18</v>
      </c>
      <c r="E416" s="48" t="s">
        <v>24</v>
      </c>
      <c r="F416" s="48" t="s">
        <v>18</v>
      </c>
      <c r="G416" s="48" t="s">
        <v>42</v>
      </c>
      <c r="H416" s="48" t="s">
        <v>19</v>
      </c>
      <c r="I416" s="48" t="s">
        <v>24</v>
      </c>
      <c r="J416" s="48" t="s">
        <v>18</v>
      </c>
      <c r="K416" s="48" t="s">
        <v>18</v>
      </c>
      <c r="L416" s="48" t="s">
        <v>20</v>
      </c>
      <c r="M416" s="48" t="s">
        <v>36</v>
      </c>
      <c r="N416" s="48" t="s">
        <v>18</v>
      </c>
      <c r="O416" s="48" t="s">
        <v>24</v>
      </c>
      <c r="P416" s="48" t="s">
        <v>22</v>
      </c>
      <c r="Q416" s="48" t="s">
        <v>44</v>
      </c>
      <c r="R416" s="156"/>
      <c r="S416" s="56" t="s">
        <v>0</v>
      </c>
      <c r="T416" s="1">
        <v>33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53">
        <f t="shared" si="104"/>
        <v>33</v>
      </c>
      <c r="AB416" s="52">
        <v>2018</v>
      </c>
      <c r="AC416" s="9"/>
      <c r="AD416" s="88"/>
      <c r="AE416" s="88"/>
    </row>
    <row r="417" spans="1:31" ht="15.6" hidden="1" customHeight="1" x14ac:dyDescent="0.25">
      <c r="A417" s="48" t="s">
        <v>18</v>
      </c>
      <c r="B417" s="48" t="s">
        <v>18</v>
      </c>
      <c r="C417" s="48" t="s">
        <v>21</v>
      </c>
      <c r="D417" s="48" t="s">
        <v>18</v>
      </c>
      <c r="E417" s="48" t="s">
        <v>24</v>
      </c>
      <c r="F417" s="48" t="s">
        <v>18</v>
      </c>
      <c r="G417" s="48" t="s">
        <v>42</v>
      </c>
      <c r="H417" s="48" t="s">
        <v>19</v>
      </c>
      <c r="I417" s="48" t="s">
        <v>24</v>
      </c>
      <c r="J417" s="48" t="s">
        <v>18</v>
      </c>
      <c r="K417" s="48" t="s">
        <v>18</v>
      </c>
      <c r="L417" s="48" t="s">
        <v>20</v>
      </c>
      <c r="M417" s="48" t="s">
        <v>36</v>
      </c>
      <c r="N417" s="48" t="s">
        <v>18</v>
      </c>
      <c r="O417" s="48" t="s">
        <v>24</v>
      </c>
      <c r="P417" s="48" t="s">
        <v>22</v>
      </c>
      <c r="Q417" s="48" t="s">
        <v>44</v>
      </c>
      <c r="R417" s="156"/>
      <c r="S417" s="56" t="s">
        <v>0</v>
      </c>
      <c r="T417" s="1">
        <v>102.9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53">
        <f t="shared" si="104"/>
        <v>102.9</v>
      </c>
      <c r="AB417" s="52">
        <v>2018</v>
      </c>
      <c r="AC417" s="9"/>
      <c r="AD417" s="88"/>
      <c r="AE417" s="88"/>
    </row>
    <row r="418" spans="1:31" ht="15.6" hidden="1" customHeight="1" x14ac:dyDescent="0.25">
      <c r="A418" s="48" t="s">
        <v>18</v>
      </c>
      <c r="B418" s="48" t="s">
        <v>18</v>
      </c>
      <c r="C418" s="48" t="s">
        <v>21</v>
      </c>
      <c r="D418" s="48" t="s">
        <v>18</v>
      </c>
      <c r="E418" s="48" t="s">
        <v>24</v>
      </c>
      <c r="F418" s="48" t="s">
        <v>18</v>
      </c>
      <c r="G418" s="48" t="s">
        <v>42</v>
      </c>
      <c r="H418" s="48" t="s">
        <v>19</v>
      </c>
      <c r="I418" s="48" t="s">
        <v>24</v>
      </c>
      <c r="J418" s="48" t="s">
        <v>18</v>
      </c>
      <c r="K418" s="48" t="s">
        <v>18</v>
      </c>
      <c r="L418" s="48" t="s">
        <v>20</v>
      </c>
      <c r="M418" s="48" t="s">
        <v>36</v>
      </c>
      <c r="N418" s="48" t="s">
        <v>18</v>
      </c>
      <c r="O418" s="48" t="s">
        <v>24</v>
      </c>
      <c r="P418" s="48" t="s">
        <v>22</v>
      </c>
      <c r="Q418" s="48" t="s">
        <v>38</v>
      </c>
      <c r="R418" s="156"/>
      <c r="S418" s="56" t="s">
        <v>0</v>
      </c>
      <c r="T418" s="1">
        <v>128.30000000000001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3">
        <f t="shared" si="104"/>
        <v>128.30000000000001</v>
      </c>
      <c r="AB418" s="52">
        <v>2018</v>
      </c>
      <c r="AC418" s="9"/>
      <c r="AD418" s="88"/>
      <c r="AE418" s="88"/>
    </row>
    <row r="419" spans="1:31" ht="31.15" hidden="1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67" t="s">
        <v>216</v>
      </c>
      <c r="S419" s="78" t="s">
        <v>168</v>
      </c>
      <c r="T419" s="3">
        <v>180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6">
        <f t="shared" si="104"/>
        <v>180</v>
      </c>
      <c r="AB419" s="37">
        <v>2018</v>
      </c>
      <c r="AC419" s="9"/>
      <c r="AD419" s="88"/>
      <c r="AE419" s="88"/>
    </row>
    <row r="420" spans="1:31" ht="15.6" hidden="1" customHeight="1" x14ac:dyDescent="0.25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156" t="s">
        <v>217</v>
      </c>
      <c r="S420" s="56" t="s">
        <v>0</v>
      </c>
      <c r="T420" s="1">
        <f>SUM(T421:T425)</f>
        <v>1177.5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3">
        <f t="shared" si="104"/>
        <v>1177.5</v>
      </c>
      <c r="AB420" s="52">
        <v>2018</v>
      </c>
      <c r="AC420" s="9"/>
      <c r="AD420" s="88"/>
      <c r="AE420" s="88"/>
    </row>
    <row r="421" spans="1:31" ht="15.6" hidden="1" customHeight="1" x14ac:dyDescent="0.25">
      <c r="A421" s="48" t="s">
        <v>18</v>
      </c>
      <c r="B421" s="48" t="s">
        <v>18</v>
      </c>
      <c r="C421" s="48" t="s">
        <v>21</v>
      </c>
      <c r="D421" s="48" t="s">
        <v>18</v>
      </c>
      <c r="E421" s="48" t="s">
        <v>21</v>
      </c>
      <c r="F421" s="48" t="s">
        <v>18</v>
      </c>
      <c r="G421" s="48" t="s">
        <v>22</v>
      </c>
      <c r="H421" s="48" t="s">
        <v>19</v>
      </c>
      <c r="I421" s="48" t="s">
        <v>24</v>
      </c>
      <c r="J421" s="48" t="s">
        <v>18</v>
      </c>
      <c r="K421" s="48" t="s">
        <v>18</v>
      </c>
      <c r="L421" s="48" t="s">
        <v>20</v>
      </c>
      <c r="M421" s="48" t="s">
        <v>19</v>
      </c>
      <c r="N421" s="48" t="s">
        <v>18</v>
      </c>
      <c r="O421" s="48" t="s">
        <v>24</v>
      </c>
      <c r="P421" s="48" t="s">
        <v>22</v>
      </c>
      <c r="Q421" s="48" t="s">
        <v>43</v>
      </c>
      <c r="R421" s="156"/>
      <c r="S421" s="56" t="s">
        <v>0</v>
      </c>
      <c r="T421" s="1">
        <v>400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3">
        <f t="shared" si="104"/>
        <v>400</v>
      </c>
      <c r="AB421" s="52">
        <v>2018</v>
      </c>
      <c r="AC421" s="9"/>
      <c r="AD421" s="88"/>
      <c r="AE421" s="88"/>
    </row>
    <row r="422" spans="1:31" ht="15.6" hidden="1" customHeight="1" x14ac:dyDescent="0.25">
      <c r="A422" s="48" t="s">
        <v>18</v>
      </c>
      <c r="B422" s="48" t="s">
        <v>18</v>
      </c>
      <c r="C422" s="48" t="s">
        <v>21</v>
      </c>
      <c r="D422" s="48" t="s">
        <v>18</v>
      </c>
      <c r="E422" s="48" t="s">
        <v>21</v>
      </c>
      <c r="F422" s="48" t="s">
        <v>18</v>
      </c>
      <c r="G422" s="48" t="s">
        <v>22</v>
      </c>
      <c r="H422" s="48" t="s">
        <v>19</v>
      </c>
      <c r="I422" s="48" t="s">
        <v>24</v>
      </c>
      <c r="J422" s="48" t="s">
        <v>18</v>
      </c>
      <c r="K422" s="48" t="s">
        <v>18</v>
      </c>
      <c r="L422" s="48" t="s">
        <v>20</v>
      </c>
      <c r="M422" s="48" t="s">
        <v>19</v>
      </c>
      <c r="N422" s="48" t="s">
        <v>18</v>
      </c>
      <c r="O422" s="48" t="s">
        <v>42</v>
      </c>
      <c r="P422" s="48" t="s">
        <v>22</v>
      </c>
      <c r="Q422" s="48" t="s">
        <v>166</v>
      </c>
      <c r="R422" s="156"/>
      <c r="S422" s="56" t="s">
        <v>0</v>
      </c>
      <c r="T422" s="1">
        <v>45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3">
        <f t="shared" si="104"/>
        <v>45</v>
      </c>
      <c r="AB422" s="52">
        <v>2018</v>
      </c>
      <c r="AC422" s="9"/>
      <c r="AD422" s="88"/>
      <c r="AE422" s="88"/>
    </row>
    <row r="423" spans="1:31" ht="15.6" hidden="1" customHeight="1" x14ac:dyDescent="0.25">
      <c r="A423" s="48" t="s">
        <v>18</v>
      </c>
      <c r="B423" s="48" t="s">
        <v>18</v>
      </c>
      <c r="C423" s="48" t="s">
        <v>21</v>
      </c>
      <c r="D423" s="48" t="s">
        <v>18</v>
      </c>
      <c r="E423" s="48" t="s">
        <v>21</v>
      </c>
      <c r="F423" s="48" t="s">
        <v>18</v>
      </c>
      <c r="G423" s="48" t="s">
        <v>22</v>
      </c>
      <c r="H423" s="48" t="s">
        <v>19</v>
      </c>
      <c r="I423" s="48" t="s">
        <v>24</v>
      </c>
      <c r="J423" s="48" t="s">
        <v>18</v>
      </c>
      <c r="K423" s="48" t="s">
        <v>18</v>
      </c>
      <c r="L423" s="48" t="s">
        <v>20</v>
      </c>
      <c r="M423" s="48" t="s">
        <v>36</v>
      </c>
      <c r="N423" s="48" t="s">
        <v>18</v>
      </c>
      <c r="O423" s="48" t="s">
        <v>24</v>
      </c>
      <c r="P423" s="48" t="s">
        <v>22</v>
      </c>
      <c r="Q423" s="48" t="s">
        <v>44</v>
      </c>
      <c r="R423" s="156"/>
      <c r="S423" s="56" t="s">
        <v>0</v>
      </c>
      <c r="T423" s="1">
        <v>58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53">
        <f t="shared" si="104"/>
        <v>58</v>
      </c>
      <c r="AB423" s="52">
        <v>2018</v>
      </c>
      <c r="AC423" s="9"/>
      <c r="AD423" s="88"/>
      <c r="AE423" s="88"/>
    </row>
    <row r="424" spans="1:31" ht="15.6" hidden="1" customHeight="1" x14ac:dyDescent="0.25">
      <c r="A424" s="48" t="s">
        <v>18</v>
      </c>
      <c r="B424" s="48" t="s">
        <v>18</v>
      </c>
      <c r="C424" s="48" t="s">
        <v>21</v>
      </c>
      <c r="D424" s="48" t="s">
        <v>18</v>
      </c>
      <c r="E424" s="48" t="s">
        <v>21</v>
      </c>
      <c r="F424" s="48" t="s">
        <v>18</v>
      </c>
      <c r="G424" s="48" t="s">
        <v>22</v>
      </c>
      <c r="H424" s="48" t="s">
        <v>19</v>
      </c>
      <c r="I424" s="48" t="s">
        <v>24</v>
      </c>
      <c r="J424" s="48" t="s">
        <v>18</v>
      </c>
      <c r="K424" s="48" t="s">
        <v>18</v>
      </c>
      <c r="L424" s="48" t="s">
        <v>20</v>
      </c>
      <c r="M424" s="48" t="s">
        <v>36</v>
      </c>
      <c r="N424" s="48" t="s">
        <v>18</v>
      </c>
      <c r="O424" s="48" t="s">
        <v>24</v>
      </c>
      <c r="P424" s="48" t="s">
        <v>22</v>
      </c>
      <c r="Q424" s="48" t="s">
        <v>44</v>
      </c>
      <c r="R424" s="156"/>
      <c r="S424" s="56" t="s">
        <v>0</v>
      </c>
      <c r="T424" s="1">
        <v>353.3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3">
        <f t="shared" si="104"/>
        <v>353.3</v>
      </c>
      <c r="AB424" s="52">
        <v>2018</v>
      </c>
      <c r="AC424" s="75"/>
      <c r="AD424" s="88"/>
      <c r="AE424" s="88"/>
    </row>
    <row r="425" spans="1:31" ht="15.6" hidden="1" customHeight="1" x14ac:dyDescent="0.25">
      <c r="A425" s="48" t="s">
        <v>18</v>
      </c>
      <c r="B425" s="48" t="s">
        <v>18</v>
      </c>
      <c r="C425" s="48" t="s">
        <v>21</v>
      </c>
      <c r="D425" s="48" t="s">
        <v>18</v>
      </c>
      <c r="E425" s="48" t="s">
        <v>21</v>
      </c>
      <c r="F425" s="48" t="s">
        <v>18</v>
      </c>
      <c r="G425" s="48" t="s">
        <v>22</v>
      </c>
      <c r="H425" s="48" t="s">
        <v>19</v>
      </c>
      <c r="I425" s="48" t="s">
        <v>24</v>
      </c>
      <c r="J425" s="48" t="s">
        <v>18</v>
      </c>
      <c r="K425" s="48" t="s">
        <v>18</v>
      </c>
      <c r="L425" s="48" t="s">
        <v>20</v>
      </c>
      <c r="M425" s="48" t="s">
        <v>36</v>
      </c>
      <c r="N425" s="48" t="s">
        <v>18</v>
      </c>
      <c r="O425" s="48" t="s">
        <v>24</v>
      </c>
      <c r="P425" s="48" t="s">
        <v>22</v>
      </c>
      <c r="Q425" s="48" t="s">
        <v>38</v>
      </c>
      <c r="R425" s="156"/>
      <c r="S425" s="56" t="s">
        <v>0</v>
      </c>
      <c r="T425" s="1">
        <v>321.2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3">
        <f t="shared" si="104"/>
        <v>321.2</v>
      </c>
      <c r="AB425" s="52">
        <v>2018</v>
      </c>
      <c r="AC425" s="9"/>
      <c r="AD425" s="88"/>
      <c r="AE425" s="88"/>
    </row>
    <row r="426" spans="1:31" ht="27.6" hidden="1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77" t="s">
        <v>218</v>
      </c>
      <c r="S426" s="73" t="s">
        <v>8</v>
      </c>
      <c r="T426" s="40">
        <v>1</v>
      </c>
      <c r="U426" s="40">
        <v>0</v>
      </c>
      <c r="V426" s="40">
        <v>0</v>
      </c>
      <c r="W426" s="40">
        <v>0</v>
      </c>
      <c r="X426" s="40">
        <v>0</v>
      </c>
      <c r="Y426" s="40">
        <v>0</v>
      </c>
      <c r="Z426" s="40">
        <v>0</v>
      </c>
      <c r="AA426" s="43">
        <f t="shared" si="104"/>
        <v>1</v>
      </c>
      <c r="AB426" s="37">
        <v>2018</v>
      </c>
      <c r="AC426" s="9"/>
      <c r="AD426" s="88"/>
      <c r="AE426" s="88"/>
    </row>
    <row r="427" spans="1:31" ht="15.6" hidden="1" customHeight="1" x14ac:dyDescent="0.25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156" t="s">
        <v>219</v>
      </c>
      <c r="S427" s="56" t="s">
        <v>0</v>
      </c>
      <c r="T427" s="1">
        <f>SUM(T428:T431)</f>
        <v>979.3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3">
        <f t="shared" si="104"/>
        <v>979.3</v>
      </c>
      <c r="AB427" s="52">
        <v>2018</v>
      </c>
      <c r="AC427" s="9"/>
      <c r="AD427" s="88"/>
      <c r="AE427" s="88"/>
    </row>
    <row r="428" spans="1:31" ht="15.6" hidden="1" customHeight="1" x14ac:dyDescent="0.25">
      <c r="A428" s="48" t="s">
        <v>18</v>
      </c>
      <c r="B428" s="48" t="s">
        <v>18</v>
      </c>
      <c r="C428" s="48" t="s">
        <v>21</v>
      </c>
      <c r="D428" s="48" t="s">
        <v>18</v>
      </c>
      <c r="E428" s="48" t="s">
        <v>21</v>
      </c>
      <c r="F428" s="48" t="s">
        <v>18</v>
      </c>
      <c r="G428" s="48" t="s">
        <v>22</v>
      </c>
      <c r="H428" s="48" t="s">
        <v>19</v>
      </c>
      <c r="I428" s="48" t="s">
        <v>24</v>
      </c>
      <c r="J428" s="48" t="s">
        <v>18</v>
      </c>
      <c r="K428" s="48" t="s">
        <v>18</v>
      </c>
      <c r="L428" s="48" t="s">
        <v>20</v>
      </c>
      <c r="M428" s="48" t="s">
        <v>19</v>
      </c>
      <c r="N428" s="48" t="s">
        <v>18</v>
      </c>
      <c r="O428" s="48" t="s">
        <v>24</v>
      </c>
      <c r="P428" s="48" t="s">
        <v>22</v>
      </c>
      <c r="Q428" s="48" t="s">
        <v>43</v>
      </c>
      <c r="R428" s="156"/>
      <c r="S428" s="56" t="s">
        <v>0</v>
      </c>
      <c r="T428" s="1">
        <v>391.7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3">
        <f t="shared" si="104"/>
        <v>391.7</v>
      </c>
      <c r="AB428" s="52">
        <v>2018</v>
      </c>
      <c r="AC428" s="9"/>
      <c r="AD428" s="88"/>
      <c r="AE428" s="88"/>
    </row>
    <row r="429" spans="1:31" ht="15.6" hidden="1" customHeight="1" x14ac:dyDescent="0.25">
      <c r="A429" s="48" t="s">
        <v>18</v>
      </c>
      <c r="B429" s="48" t="s">
        <v>18</v>
      </c>
      <c r="C429" s="48" t="s">
        <v>21</v>
      </c>
      <c r="D429" s="48" t="s">
        <v>18</v>
      </c>
      <c r="E429" s="48" t="s">
        <v>21</v>
      </c>
      <c r="F429" s="48" t="s">
        <v>18</v>
      </c>
      <c r="G429" s="48" t="s">
        <v>22</v>
      </c>
      <c r="H429" s="48" t="s">
        <v>19</v>
      </c>
      <c r="I429" s="48" t="s">
        <v>24</v>
      </c>
      <c r="J429" s="48" t="s">
        <v>18</v>
      </c>
      <c r="K429" s="48" t="s">
        <v>18</v>
      </c>
      <c r="L429" s="48" t="s">
        <v>20</v>
      </c>
      <c r="M429" s="48" t="s">
        <v>36</v>
      </c>
      <c r="N429" s="48" t="s">
        <v>18</v>
      </c>
      <c r="O429" s="48" t="s">
        <v>42</v>
      </c>
      <c r="P429" s="48" t="s">
        <v>22</v>
      </c>
      <c r="Q429" s="48" t="s">
        <v>166</v>
      </c>
      <c r="R429" s="156"/>
      <c r="S429" s="56" t="s">
        <v>0</v>
      </c>
      <c r="T429" s="1">
        <v>30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53">
        <f t="shared" si="104"/>
        <v>30</v>
      </c>
      <c r="AB429" s="52">
        <v>2018</v>
      </c>
      <c r="AC429" s="9"/>
      <c r="AD429" s="88"/>
      <c r="AE429" s="88"/>
    </row>
    <row r="430" spans="1:31" ht="15.6" hidden="1" customHeight="1" x14ac:dyDescent="0.25">
      <c r="A430" s="48" t="s">
        <v>18</v>
      </c>
      <c r="B430" s="48" t="s">
        <v>18</v>
      </c>
      <c r="C430" s="48" t="s">
        <v>21</v>
      </c>
      <c r="D430" s="48" t="s">
        <v>18</v>
      </c>
      <c r="E430" s="48" t="s">
        <v>21</v>
      </c>
      <c r="F430" s="48" t="s">
        <v>18</v>
      </c>
      <c r="G430" s="48" t="s">
        <v>22</v>
      </c>
      <c r="H430" s="48" t="s">
        <v>19</v>
      </c>
      <c r="I430" s="48" t="s">
        <v>24</v>
      </c>
      <c r="J430" s="48" t="s">
        <v>18</v>
      </c>
      <c r="K430" s="48" t="s">
        <v>18</v>
      </c>
      <c r="L430" s="48" t="s">
        <v>20</v>
      </c>
      <c r="M430" s="48" t="s">
        <v>36</v>
      </c>
      <c r="N430" s="48" t="s">
        <v>18</v>
      </c>
      <c r="O430" s="48" t="s">
        <v>24</v>
      </c>
      <c r="P430" s="48" t="s">
        <v>22</v>
      </c>
      <c r="Q430" s="48" t="s">
        <v>44</v>
      </c>
      <c r="R430" s="156"/>
      <c r="S430" s="56" t="s">
        <v>0</v>
      </c>
      <c r="T430" s="1">
        <v>205.6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53">
        <f t="shared" si="104"/>
        <v>205.6</v>
      </c>
      <c r="AB430" s="52">
        <v>2018</v>
      </c>
      <c r="AC430" s="9"/>
      <c r="AD430" s="88"/>
      <c r="AE430" s="88"/>
    </row>
    <row r="431" spans="1:31" ht="15.6" hidden="1" customHeight="1" x14ac:dyDescent="0.25">
      <c r="A431" s="48" t="s">
        <v>18</v>
      </c>
      <c r="B431" s="48" t="s">
        <v>18</v>
      </c>
      <c r="C431" s="48" t="s">
        <v>21</v>
      </c>
      <c r="D431" s="48" t="s">
        <v>18</v>
      </c>
      <c r="E431" s="48" t="s">
        <v>21</v>
      </c>
      <c r="F431" s="48" t="s">
        <v>18</v>
      </c>
      <c r="G431" s="48" t="s">
        <v>22</v>
      </c>
      <c r="H431" s="48" t="s">
        <v>19</v>
      </c>
      <c r="I431" s="48" t="s">
        <v>24</v>
      </c>
      <c r="J431" s="48" t="s">
        <v>18</v>
      </c>
      <c r="K431" s="48" t="s">
        <v>18</v>
      </c>
      <c r="L431" s="48" t="s">
        <v>20</v>
      </c>
      <c r="M431" s="48" t="s">
        <v>36</v>
      </c>
      <c r="N431" s="48" t="s">
        <v>18</v>
      </c>
      <c r="O431" s="48" t="s">
        <v>24</v>
      </c>
      <c r="P431" s="48" t="s">
        <v>22</v>
      </c>
      <c r="Q431" s="48" t="s">
        <v>38</v>
      </c>
      <c r="R431" s="156"/>
      <c r="S431" s="56" t="s">
        <v>0</v>
      </c>
      <c r="T431" s="1">
        <v>352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53">
        <f t="shared" si="104"/>
        <v>352</v>
      </c>
      <c r="AB431" s="52">
        <v>2018</v>
      </c>
      <c r="AC431" s="9"/>
      <c r="AD431" s="88"/>
      <c r="AE431" s="88"/>
    </row>
    <row r="432" spans="1:31" ht="31.15" hidden="1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69" t="s">
        <v>220</v>
      </c>
      <c r="S432" s="73" t="s">
        <v>163</v>
      </c>
      <c r="T432" s="3">
        <v>356.5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6">
        <f t="shared" si="104"/>
        <v>356.5</v>
      </c>
      <c r="AB432" s="37">
        <v>2018</v>
      </c>
      <c r="AC432" s="9"/>
      <c r="AD432" s="88"/>
      <c r="AE432" s="88"/>
    </row>
    <row r="433" spans="1:31" ht="15.6" hidden="1" customHeight="1" x14ac:dyDescent="0.25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156" t="s">
        <v>221</v>
      </c>
      <c r="S433" s="56" t="s">
        <v>0</v>
      </c>
      <c r="T433" s="1">
        <f>SUM(T434:T437)</f>
        <v>695.4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53">
        <f t="shared" si="104"/>
        <v>695.4</v>
      </c>
      <c r="AB433" s="52">
        <v>2018</v>
      </c>
      <c r="AC433" s="9"/>
      <c r="AD433" s="88"/>
      <c r="AE433" s="88"/>
    </row>
    <row r="434" spans="1:31" ht="15.6" hidden="1" customHeight="1" x14ac:dyDescent="0.25">
      <c r="A434" s="48" t="s">
        <v>18</v>
      </c>
      <c r="B434" s="48" t="s">
        <v>18</v>
      </c>
      <c r="C434" s="48" t="s">
        <v>21</v>
      </c>
      <c r="D434" s="48" t="s">
        <v>18</v>
      </c>
      <c r="E434" s="48" t="s">
        <v>21</v>
      </c>
      <c r="F434" s="48" t="s">
        <v>18</v>
      </c>
      <c r="G434" s="48" t="s">
        <v>22</v>
      </c>
      <c r="H434" s="48" t="s">
        <v>19</v>
      </c>
      <c r="I434" s="48" t="s">
        <v>24</v>
      </c>
      <c r="J434" s="48" t="s">
        <v>18</v>
      </c>
      <c r="K434" s="48" t="s">
        <v>18</v>
      </c>
      <c r="L434" s="48" t="s">
        <v>20</v>
      </c>
      <c r="M434" s="48" t="s">
        <v>19</v>
      </c>
      <c r="N434" s="48" t="s">
        <v>18</v>
      </c>
      <c r="O434" s="48" t="s">
        <v>24</v>
      </c>
      <c r="P434" s="48" t="s">
        <v>22</v>
      </c>
      <c r="Q434" s="48" t="s">
        <v>43</v>
      </c>
      <c r="R434" s="156"/>
      <c r="S434" s="56" t="s">
        <v>0</v>
      </c>
      <c r="T434" s="1">
        <v>278.2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53">
        <f t="shared" si="104"/>
        <v>278.2</v>
      </c>
      <c r="AB434" s="52">
        <v>2018</v>
      </c>
      <c r="AC434" s="9"/>
      <c r="AD434" s="88"/>
      <c r="AE434" s="88"/>
    </row>
    <row r="435" spans="1:31" ht="15.6" hidden="1" customHeight="1" x14ac:dyDescent="0.25">
      <c r="A435" s="48" t="s">
        <v>18</v>
      </c>
      <c r="B435" s="48" t="s">
        <v>18</v>
      </c>
      <c r="C435" s="48" t="s">
        <v>21</v>
      </c>
      <c r="D435" s="48" t="s">
        <v>18</v>
      </c>
      <c r="E435" s="48" t="s">
        <v>21</v>
      </c>
      <c r="F435" s="48" t="s">
        <v>18</v>
      </c>
      <c r="G435" s="48" t="s">
        <v>22</v>
      </c>
      <c r="H435" s="48" t="s">
        <v>19</v>
      </c>
      <c r="I435" s="48" t="s">
        <v>24</v>
      </c>
      <c r="J435" s="48" t="s">
        <v>18</v>
      </c>
      <c r="K435" s="48" t="s">
        <v>18</v>
      </c>
      <c r="L435" s="48" t="s">
        <v>20</v>
      </c>
      <c r="M435" s="48" t="s">
        <v>36</v>
      </c>
      <c r="N435" s="48" t="s">
        <v>18</v>
      </c>
      <c r="O435" s="48" t="s">
        <v>42</v>
      </c>
      <c r="P435" s="48" t="s">
        <v>22</v>
      </c>
      <c r="Q435" s="48" t="s">
        <v>166</v>
      </c>
      <c r="R435" s="156"/>
      <c r="S435" s="56" t="s">
        <v>0</v>
      </c>
      <c r="T435" s="1">
        <v>20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53">
        <f t="shared" si="104"/>
        <v>20</v>
      </c>
      <c r="AB435" s="52">
        <v>2018</v>
      </c>
      <c r="AC435" s="9"/>
      <c r="AD435" s="88"/>
      <c r="AE435" s="88"/>
    </row>
    <row r="436" spans="1:31" ht="15.6" hidden="1" customHeight="1" x14ac:dyDescent="0.25">
      <c r="A436" s="48" t="s">
        <v>18</v>
      </c>
      <c r="B436" s="48" t="s">
        <v>18</v>
      </c>
      <c r="C436" s="48" t="s">
        <v>21</v>
      </c>
      <c r="D436" s="48" t="s">
        <v>18</v>
      </c>
      <c r="E436" s="48" t="s">
        <v>21</v>
      </c>
      <c r="F436" s="48" t="s">
        <v>18</v>
      </c>
      <c r="G436" s="48" t="s">
        <v>22</v>
      </c>
      <c r="H436" s="48" t="s">
        <v>19</v>
      </c>
      <c r="I436" s="48" t="s">
        <v>24</v>
      </c>
      <c r="J436" s="48" t="s">
        <v>18</v>
      </c>
      <c r="K436" s="48" t="s">
        <v>18</v>
      </c>
      <c r="L436" s="48" t="s">
        <v>20</v>
      </c>
      <c r="M436" s="48" t="s">
        <v>36</v>
      </c>
      <c r="N436" s="48" t="s">
        <v>18</v>
      </c>
      <c r="O436" s="48" t="s">
        <v>24</v>
      </c>
      <c r="P436" s="48" t="s">
        <v>22</v>
      </c>
      <c r="Q436" s="48" t="s">
        <v>44</v>
      </c>
      <c r="R436" s="156"/>
      <c r="S436" s="56" t="s">
        <v>0</v>
      </c>
      <c r="T436" s="1">
        <v>104.3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53">
        <f t="shared" si="104"/>
        <v>104.3</v>
      </c>
      <c r="AB436" s="52">
        <v>2018</v>
      </c>
      <c r="AC436" s="9"/>
      <c r="AD436" s="88"/>
      <c r="AE436" s="88"/>
    </row>
    <row r="437" spans="1:31" ht="15.6" hidden="1" customHeight="1" x14ac:dyDescent="0.25">
      <c r="A437" s="48" t="s">
        <v>18</v>
      </c>
      <c r="B437" s="48" t="s">
        <v>18</v>
      </c>
      <c r="C437" s="48" t="s">
        <v>21</v>
      </c>
      <c r="D437" s="48" t="s">
        <v>18</v>
      </c>
      <c r="E437" s="48" t="s">
        <v>21</v>
      </c>
      <c r="F437" s="48" t="s">
        <v>18</v>
      </c>
      <c r="G437" s="48" t="s">
        <v>22</v>
      </c>
      <c r="H437" s="48" t="s">
        <v>19</v>
      </c>
      <c r="I437" s="48" t="s">
        <v>24</v>
      </c>
      <c r="J437" s="48" t="s">
        <v>18</v>
      </c>
      <c r="K437" s="48" t="s">
        <v>18</v>
      </c>
      <c r="L437" s="48" t="s">
        <v>20</v>
      </c>
      <c r="M437" s="48" t="s">
        <v>36</v>
      </c>
      <c r="N437" s="48" t="s">
        <v>18</v>
      </c>
      <c r="O437" s="48" t="s">
        <v>24</v>
      </c>
      <c r="P437" s="48" t="s">
        <v>22</v>
      </c>
      <c r="Q437" s="48" t="s">
        <v>38</v>
      </c>
      <c r="R437" s="156"/>
      <c r="S437" s="56" t="s">
        <v>0</v>
      </c>
      <c r="T437" s="1">
        <v>292.89999999999998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53">
        <f t="shared" si="104"/>
        <v>292.89999999999998</v>
      </c>
      <c r="AB437" s="52">
        <v>2018</v>
      </c>
      <c r="AC437" s="9"/>
      <c r="AD437" s="88"/>
      <c r="AE437" s="88"/>
    </row>
    <row r="438" spans="1:31" ht="31.15" hidden="1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67" t="s">
        <v>222</v>
      </c>
      <c r="S438" s="78" t="s">
        <v>168</v>
      </c>
      <c r="T438" s="3">
        <v>190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6">
        <f t="shared" si="104"/>
        <v>190</v>
      </c>
      <c r="AB438" s="37">
        <v>2018</v>
      </c>
      <c r="AC438" s="9"/>
      <c r="AD438" s="88"/>
      <c r="AE438" s="88"/>
    </row>
    <row r="439" spans="1:31" ht="15.6" hidden="1" customHeight="1" x14ac:dyDescent="0.25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156" t="s">
        <v>223</v>
      </c>
      <c r="S439" s="56" t="s">
        <v>0</v>
      </c>
      <c r="T439" s="1">
        <f>SUM(T440:T444)</f>
        <v>836.4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53">
        <f t="shared" si="104"/>
        <v>836.4</v>
      </c>
      <c r="AB439" s="52">
        <v>2018</v>
      </c>
      <c r="AC439" s="9"/>
      <c r="AD439" s="88"/>
      <c r="AE439" s="88"/>
    </row>
    <row r="440" spans="1:31" ht="15.6" hidden="1" customHeight="1" x14ac:dyDescent="0.25">
      <c r="A440" s="48" t="s">
        <v>18</v>
      </c>
      <c r="B440" s="48" t="s">
        <v>18</v>
      </c>
      <c r="C440" s="48" t="s">
        <v>21</v>
      </c>
      <c r="D440" s="48" t="s">
        <v>18</v>
      </c>
      <c r="E440" s="48" t="s">
        <v>21</v>
      </c>
      <c r="F440" s="48" t="s">
        <v>18</v>
      </c>
      <c r="G440" s="48" t="s">
        <v>22</v>
      </c>
      <c r="H440" s="48" t="s">
        <v>19</v>
      </c>
      <c r="I440" s="48" t="s">
        <v>24</v>
      </c>
      <c r="J440" s="48" t="s">
        <v>18</v>
      </c>
      <c r="K440" s="48" t="s">
        <v>18</v>
      </c>
      <c r="L440" s="48" t="s">
        <v>20</v>
      </c>
      <c r="M440" s="48" t="s">
        <v>19</v>
      </c>
      <c r="N440" s="48" t="s">
        <v>18</v>
      </c>
      <c r="O440" s="48" t="s">
        <v>24</v>
      </c>
      <c r="P440" s="48" t="s">
        <v>22</v>
      </c>
      <c r="Q440" s="48" t="s">
        <v>43</v>
      </c>
      <c r="R440" s="156"/>
      <c r="S440" s="56" t="s">
        <v>0</v>
      </c>
      <c r="T440" s="1">
        <v>334.5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53">
        <f t="shared" si="104"/>
        <v>334.5</v>
      </c>
      <c r="AB440" s="52">
        <v>2018</v>
      </c>
      <c r="AC440" s="9"/>
      <c r="AD440" s="88"/>
      <c r="AE440" s="88"/>
    </row>
    <row r="441" spans="1:31" ht="15.6" hidden="1" customHeight="1" x14ac:dyDescent="0.25">
      <c r="A441" s="48" t="s">
        <v>18</v>
      </c>
      <c r="B441" s="48" t="s">
        <v>18</v>
      </c>
      <c r="C441" s="48" t="s">
        <v>21</v>
      </c>
      <c r="D441" s="48" t="s">
        <v>18</v>
      </c>
      <c r="E441" s="48" t="s">
        <v>21</v>
      </c>
      <c r="F441" s="48" t="s">
        <v>18</v>
      </c>
      <c r="G441" s="48" t="s">
        <v>22</v>
      </c>
      <c r="H441" s="48" t="s">
        <v>19</v>
      </c>
      <c r="I441" s="48" t="s">
        <v>24</v>
      </c>
      <c r="J441" s="48" t="s">
        <v>18</v>
      </c>
      <c r="K441" s="48" t="s">
        <v>18</v>
      </c>
      <c r="L441" s="48" t="s">
        <v>20</v>
      </c>
      <c r="M441" s="48" t="s">
        <v>19</v>
      </c>
      <c r="N441" s="48" t="s">
        <v>18</v>
      </c>
      <c r="O441" s="48" t="s">
        <v>42</v>
      </c>
      <c r="P441" s="48" t="s">
        <v>22</v>
      </c>
      <c r="Q441" s="48" t="s">
        <v>166</v>
      </c>
      <c r="R441" s="156"/>
      <c r="S441" s="56" t="s">
        <v>0</v>
      </c>
      <c r="T441" s="1">
        <v>30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53">
        <f>SUM(T441:Y441)</f>
        <v>30</v>
      </c>
      <c r="AB441" s="52">
        <v>2018</v>
      </c>
      <c r="AC441" s="9"/>
      <c r="AD441" s="88"/>
      <c r="AE441" s="88"/>
    </row>
    <row r="442" spans="1:31" ht="15.6" hidden="1" customHeight="1" x14ac:dyDescent="0.25">
      <c r="A442" s="48" t="s">
        <v>18</v>
      </c>
      <c r="B442" s="48" t="s">
        <v>18</v>
      </c>
      <c r="C442" s="48" t="s">
        <v>21</v>
      </c>
      <c r="D442" s="48" t="s">
        <v>18</v>
      </c>
      <c r="E442" s="48" t="s">
        <v>21</v>
      </c>
      <c r="F442" s="48" t="s">
        <v>18</v>
      </c>
      <c r="G442" s="48" t="s">
        <v>22</v>
      </c>
      <c r="H442" s="48" t="s">
        <v>19</v>
      </c>
      <c r="I442" s="48" t="s">
        <v>24</v>
      </c>
      <c r="J442" s="48" t="s">
        <v>18</v>
      </c>
      <c r="K442" s="48" t="s">
        <v>18</v>
      </c>
      <c r="L442" s="48" t="s">
        <v>20</v>
      </c>
      <c r="M442" s="48" t="s">
        <v>36</v>
      </c>
      <c r="N442" s="48" t="s">
        <v>18</v>
      </c>
      <c r="O442" s="48" t="s">
        <v>24</v>
      </c>
      <c r="P442" s="48" t="s">
        <v>22</v>
      </c>
      <c r="Q442" s="48" t="s">
        <v>44</v>
      </c>
      <c r="R442" s="156"/>
      <c r="S442" s="56" t="s">
        <v>0</v>
      </c>
      <c r="T442" s="1">
        <v>16.399999999999999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53">
        <f t="shared" si="104"/>
        <v>16.399999999999999</v>
      </c>
      <c r="AB442" s="52">
        <v>2018</v>
      </c>
      <c r="AC442" s="9"/>
      <c r="AD442" s="88"/>
      <c r="AE442" s="88"/>
    </row>
    <row r="443" spans="1:31" ht="15.6" hidden="1" customHeight="1" x14ac:dyDescent="0.25">
      <c r="A443" s="48" t="s">
        <v>18</v>
      </c>
      <c r="B443" s="48" t="s">
        <v>18</v>
      </c>
      <c r="C443" s="48" t="s">
        <v>21</v>
      </c>
      <c r="D443" s="48" t="s">
        <v>18</v>
      </c>
      <c r="E443" s="48" t="s">
        <v>21</v>
      </c>
      <c r="F443" s="48" t="s">
        <v>18</v>
      </c>
      <c r="G443" s="48" t="s">
        <v>22</v>
      </c>
      <c r="H443" s="48" t="s">
        <v>19</v>
      </c>
      <c r="I443" s="48" t="s">
        <v>24</v>
      </c>
      <c r="J443" s="48" t="s">
        <v>18</v>
      </c>
      <c r="K443" s="48" t="s">
        <v>18</v>
      </c>
      <c r="L443" s="48" t="s">
        <v>20</v>
      </c>
      <c r="M443" s="48" t="s">
        <v>36</v>
      </c>
      <c r="N443" s="48" t="s">
        <v>18</v>
      </c>
      <c r="O443" s="48" t="s">
        <v>24</v>
      </c>
      <c r="P443" s="48" t="s">
        <v>22</v>
      </c>
      <c r="Q443" s="48" t="s">
        <v>44</v>
      </c>
      <c r="R443" s="156"/>
      <c r="S443" s="56" t="s">
        <v>0</v>
      </c>
      <c r="T443" s="1">
        <v>125.5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53">
        <f t="shared" si="104"/>
        <v>125.5</v>
      </c>
      <c r="AB443" s="52">
        <v>2018</v>
      </c>
      <c r="AC443" s="9"/>
      <c r="AD443" s="88"/>
      <c r="AE443" s="88"/>
    </row>
    <row r="444" spans="1:31" ht="15.6" hidden="1" customHeight="1" x14ac:dyDescent="0.25">
      <c r="A444" s="48" t="s">
        <v>18</v>
      </c>
      <c r="B444" s="48" t="s">
        <v>18</v>
      </c>
      <c r="C444" s="48" t="s">
        <v>21</v>
      </c>
      <c r="D444" s="48" t="s">
        <v>18</v>
      </c>
      <c r="E444" s="48" t="s">
        <v>21</v>
      </c>
      <c r="F444" s="48" t="s">
        <v>18</v>
      </c>
      <c r="G444" s="48" t="s">
        <v>22</v>
      </c>
      <c r="H444" s="48" t="s">
        <v>19</v>
      </c>
      <c r="I444" s="48" t="s">
        <v>24</v>
      </c>
      <c r="J444" s="48" t="s">
        <v>18</v>
      </c>
      <c r="K444" s="48" t="s">
        <v>18</v>
      </c>
      <c r="L444" s="48" t="s">
        <v>20</v>
      </c>
      <c r="M444" s="48" t="s">
        <v>36</v>
      </c>
      <c r="N444" s="48" t="s">
        <v>18</v>
      </c>
      <c r="O444" s="48" t="s">
        <v>24</v>
      </c>
      <c r="P444" s="48" t="s">
        <v>22</v>
      </c>
      <c r="Q444" s="48" t="s">
        <v>38</v>
      </c>
      <c r="R444" s="156"/>
      <c r="S444" s="56" t="s">
        <v>0</v>
      </c>
      <c r="T444" s="1">
        <v>330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53">
        <f t="shared" si="104"/>
        <v>330</v>
      </c>
      <c r="AB444" s="52">
        <v>2018</v>
      </c>
      <c r="AC444" s="9"/>
      <c r="AD444" s="88"/>
      <c r="AE444" s="88"/>
    </row>
    <row r="445" spans="1:31" ht="27.6" hidden="1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77" t="s">
        <v>224</v>
      </c>
      <c r="S445" s="73" t="s">
        <v>8</v>
      </c>
      <c r="T445" s="40">
        <v>1</v>
      </c>
      <c r="U445" s="40">
        <v>0</v>
      </c>
      <c r="V445" s="40">
        <v>0</v>
      </c>
      <c r="W445" s="40">
        <v>0</v>
      </c>
      <c r="X445" s="40">
        <v>0</v>
      </c>
      <c r="Y445" s="40">
        <v>0</v>
      </c>
      <c r="Z445" s="40">
        <v>0</v>
      </c>
      <c r="AA445" s="6">
        <f t="shared" si="104"/>
        <v>1</v>
      </c>
      <c r="AB445" s="37">
        <v>2018</v>
      </c>
      <c r="AC445" s="9"/>
      <c r="AD445" s="88"/>
      <c r="AE445" s="88"/>
    </row>
    <row r="446" spans="1:31" ht="15.6" customHeight="1" x14ac:dyDescent="0.25">
      <c r="A446" s="48" t="s">
        <v>18</v>
      </c>
      <c r="B446" s="48" t="s">
        <v>18</v>
      </c>
      <c r="C446" s="48" t="s">
        <v>25</v>
      </c>
      <c r="D446" s="48" t="s">
        <v>18</v>
      </c>
      <c r="E446" s="48" t="s">
        <v>18</v>
      </c>
      <c r="F446" s="48" t="s">
        <v>18</v>
      </c>
      <c r="G446" s="48" t="s">
        <v>18</v>
      </c>
      <c r="H446" s="48" t="s">
        <v>19</v>
      </c>
      <c r="I446" s="48" t="s">
        <v>24</v>
      </c>
      <c r="J446" s="48" t="s">
        <v>18</v>
      </c>
      <c r="K446" s="48" t="s">
        <v>18</v>
      </c>
      <c r="L446" s="48" t="s">
        <v>20</v>
      </c>
      <c r="M446" s="48" t="s">
        <v>18</v>
      </c>
      <c r="N446" s="48" t="s">
        <v>18</v>
      </c>
      <c r="O446" s="48" t="s">
        <v>18</v>
      </c>
      <c r="P446" s="48" t="s">
        <v>18</v>
      </c>
      <c r="Q446" s="48" t="s">
        <v>18</v>
      </c>
      <c r="R446" s="160" t="s">
        <v>129</v>
      </c>
      <c r="S446" s="164" t="s">
        <v>0</v>
      </c>
      <c r="T446" s="53">
        <f>SUM(T447:T449)</f>
        <v>6913.9</v>
      </c>
      <c r="U446" s="53">
        <f>SUM(U447:U451)</f>
        <v>3765.5</v>
      </c>
      <c r="V446" s="53">
        <f>SUM(V447:V451)</f>
        <v>1745.5</v>
      </c>
      <c r="W446" s="53">
        <f>SUM(W447:W454)</f>
        <v>1838.6999999999998</v>
      </c>
      <c r="X446" s="53">
        <f>SUM(X447:X454)</f>
        <v>2251.1000000000004</v>
      </c>
      <c r="Y446" s="53">
        <f>SUM(Y447:Y455)</f>
        <v>6199.4</v>
      </c>
      <c r="Z446" s="53">
        <f>SUM(Z447:Z455)</f>
        <v>16700.400000000001</v>
      </c>
      <c r="AA446" s="53">
        <f>SUM(T446:Z446)</f>
        <v>39414.5</v>
      </c>
      <c r="AB446" s="52">
        <v>2023</v>
      </c>
      <c r="AC446" s="111"/>
      <c r="AD446" s="88"/>
      <c r="AE446" s="88"/>
    </row>
    <row r="447" spans="1:31" x14ac:dyDescent="0.25">
      <c r="A447" s="48" t="s">
        <v>18</v>
      </c>
      <c r="B447" s="48" t="s">
        <v>18</v>
      </c>
      <c r="C447" s="48" t="s">
        <v>25</v>
      </c>
      <c r="D447" s="48" t="s">
        <v>18</v>
      </c>
      <c r="E447" s="48" t="s">
        <v>18</v>
      </c>
      <c r="F447" s="48" t="s">
        <v>18</v>
      </c>
      <c r="G447" s="48" t="s">
        <v>18</v>
      </c>
      <c r="H447" s="48" t="s">
        <v>19</v>
      </c>
      <c r="I447" s="48" t="s">
        <v>24</v>
      </c>
      <c r="J447" s="48" t="s">
        <v>18</v>
      </c>
      <c r="K447" s="48" t="s">
        <v>18</v>
      </c>
      <c r="L447" s="48" t="s">
        <v>20</v>
      </c>
      <c r="M447" s="48" t="s">
        <v>19</v>
      </c>
      <c r="N447" s="48" t="s">
        <v>18</v>
      </c>
      <c r="O447" s="48" t="s">
        <v>24</v>
      </c>
      <c r="P447" s="48" t="s">
        <v>22</v>
      </c>
      <c r="Q447" s="48" t="s">
        <v>43</v>
      </c>
      <c r="R447" s="161"/>
      <c r="S447" s="165"/>
      <c r="T447" s="1">
        <v>2886.9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53">
        <f t="shared" ref="AA447:AA455" si="105">SUM(T447:Z447)</f>
        <v>2886.9</v>
      </c>
      <c r="AB447" s="52">
        <v>2018</v>
      </c>
      <c r="AC447" s="111"/>
      <c r="AD447" s="88"/>
      <c r="AE447" s="88"/>
    </row>
    <row r="448" spans="1:31" x14ac:dyDescent="0.25">
      <c r="A448" s="48" t="s">
        <v>18</v>
      </c>
      <c r="B448" s="48" t="s">
        <v>18</v>
      </c>
      <c r="C448" s="48" t="s">
        <v>25</v>
      </c>
      <c r="D448" s="48" t="s">
        <v>18</v>
      </c>
      <c r="E448" s="48" t="s">
        <v>18</v>
      </c>
      <c r="F448" s="48" t="s">
        <v>18</v>
      </c>
      <c r="G448" s="48" t="s">
        <v>18</v>
      </c>
      <c r="H448" s="48" t="s">
        <v>19</v>
      </c>
      <c r="I448" s="48" t="s">
        <v>24</v>
      </c>
      <c r="J448" s="48" t="s">
        <v>18</v>
      </c>
      <c r="K448" s="48" t="s">
        <v>18</v>
      </c>
      <c r="L448" s="48" t="s">
        <v>20</v>
      </c>
      <c r="M448" s="48" t="s">
        <v>36</v>
      </c>
      <c r="N448" s="48" t="s">
        <v>18</v>
      </c>
      <c r="O448" s="48" t="s">
        <v>24</v>
      </c>
      <c r="P448" s="48" t="s">
        <v>22</v>
      </c>
      <c r="Q448" s="48" t="s">
        <v>44</v>
      </c>
      <c r="R448" s="161"/>
      <c r="S448" s="165"/>
      <c r="T448" s="1">
        <v>1641.4</v>
      </c>
      <c r="U448" s="1">
        <v>868</v>
      </c>
      <c r="V448" s="1">
        <v>501.9</v>
      </c>
      <c r="W448" s="1">
        <v>0</v>
      </c>
      <c r="X448" s="1">
        <v>0</v>
      </c>
      <c r="Y448" s="1">
        <v>0</v>
      </c>
      <c r="Z448" s="1">
        <v>0</v>
      </c>
      <c r="AA448" s="53">
        <f t="shared" si="105"/>
        <v>3011.3</v>
      </c>
      <c r="AB448" s="52">
        <v>2020</v>
      </c>
      <c r="AC448" s="111"/>
      <c r="AD448" s="88"/>
      <c r="AE448" s="88"/>
    </row>
    <row r="449" spans="1:31" x14ac:dyDescent="0.25">
      <c r="A449" s="48" t="s">
        <v>18</v>
      </c>
      <c r="B449" s="48" t="s">
        <v>18</v>
      </c>
      <c r="C449" s="48" t="s">
        <v>25</v>
      </c>
      <c r="D449" s="48" t="s">
        <v>18</v>
      </c>
      <c r="E449" s="48" t="s">
        <v>18</v>
      </c>
      <c r="F449" s="48" t="s">
        <v>18</v>
      </c>
      <c r="G449" s="48" t="s">
        <v>18</v>
      </c>
      <c r="H449" s="48" t="s">
        <v>19</v>
      </c>
      <c r="I449" s="48" t="s">
        <v>24</v>
      </c>
      <c r="J449" s="48" t="s">
        <v>18</v>
      </c>
      <c r="K449" s="48" t="s">
        <v>18</v>
      </c>
      <c r="L449" s="48" t="s">
        <v>20</v>
      </c>
      <c r="M449" s="48" t="s">
        <v>36</v>
      </c>
      <c r="N449" s="48" t="s">
        <v>18</v>
      </c>
      <c r="O449" s="48" t="s">
        <v>24</v>
      </c>
      <c r="P449" s="48" t="s">
        <v>22</v>
      </c>
      <c r="Q449" s="48" t="s">
        <v>38</v>
      </c>
      <c r="R449" s="161"/>
      <c r="S449" s="165"/>
      <c r="T449" s="1">
        <v>2385.6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53">
        <f t="shared" si="105"/>
        <v>2385.6</v>
      </c>
      <c r="AB449" s="52">
        <v>2018</v>
      </c>
      <c r="AC449" s="111"/>
      <c r="AD449" s="88"/>
      <c r="AE449" s="88"/>
    </row>
    <row r="450" spans="1:31" x14ac:dyDescent="0.25">
      <c r="A450" s="48" t="s">
        <v>18</v>
      </c>
      <c r="B450" s="48" t="s">
        <v>18</v>
      </c>
      <c r="C450" s="48" t="s">
        <v>25</v>
      </c>
      <c r="D450" s="48" t="s">
        <v>18</v>
      </c>
      <c r="E450" s="48" t="s">
        <v>18</v>
      </c>
      <c r="F450" s="48" t="s">
        <v>18</v>
      </c>
      <c r="G450" s="48" t="s">
        <v>18</v>
      </c>
      <c r="H450" s="48" t="s">
        <v>19</v>
      </c>
      <c r="I450" s="48" t="s">
        <v>24</v>
      </c>
      <c r="J450" s="48" t="s">
        <v>18</v>
      </c>
      <c r="K450" s="48" t="s">
        <v>18</v>
      </c>
      <c r="L450" s="48" t="s">
        <v>20</v>
      </c>
      <c r="M450" s="48" t="s">
        <v>19</v>
      </c>
      <c r="N450" s="48" t="s">
        <v>18</v>
      </c>
      <c r="O450" s="48" t="s">
        <v>24</v>
      </c>
      <c r="P450" s="48" t="s">
        <v>22</v>
      </c>
      <c r="Q450" s="48" t="s">
        <v>18</v>
      </c>
      <c r="R450" s="161"/>
      <c r="S450" s="165"/>
      <c r="T450" s="1">
        <v>0</v>
      </c>
      <c r="U450" s="1">
        <f>1977-1.3</f>
        <v>1975.7</v>
      </c>
      <c r="V450" s="1">
        <f>968.2-585.9</f>
        <v>382.30000000000007</v>
      </c>
      <c r="W450" s="1">
        <v>0</v>
      </c>
      <c r="X450" s="1">
        <v>0</v>
      </c>
      <c r="Y450" s="1">
        <v>0</v>
      </c>
      <c r="Z450" s="1">
        <v>0</v>
      </c>
      <c r="AA450" s="53">
        <f t="shared" si="105"/>
        <v>2358</v>
      </c>
      <c r="AB450" s="52">
        <v>2020</v>
      </c>
      <c r="AC450" s="111"/>
      <c r="AD450" s="88"/>
      <c r="AE450" s="88"/>
    </row>
    <row r="451" spans="1:31" x14ac:dyDescent="0.25">
      <c r="A451" s="48" t="s">
        <v>18</v>
      </c>
      <c r="B451" s="48" t="s">
        <v>18</v>
      </c>
      <c r="C451" s="48" t="s">
        <v>25</v>
      </c>
      <c r="D451" s="48" t="s">
        <v>18</v>
      </c>
      <c r="E451" s="48" t="s">
        <v>18</v>
      </c>
      <c r="F451" s="48" t="s">
        <v>18</v>
      </c>
      <c r="G451" s="48" t="s">
        <v>18</v>
      </c>
      <c r="H451" s="48" t="s">
        <v>19</v>
      </c>
      <c r="I451" s="48" t="s">
        <v>24</v>
      </c>
      <c r="J451" s="48" t="s">
        <v>18</v>
      </c>
      <c r="K451" s="48" t="s">
        <v>18</v>
      </c>
      <c r="L451" s="48" t="s">
        <v>20</v>
      </c>
      <c r="M451" s="48" t="s">
        <v>36</v>
      </c>
      <c r="N451" s="48" t="s">
        <v>18</v>
      </c>
      <c r="O451" s="48" t="s">
        <v>24</v>
      </c>
      <c r="P451" s="48" t="s">
        <v>22</v>
      </c>
      <c r="Q451" s="48" t="s">
        <v>18</v>
      </c>
      <c r="R451" s="161"/>
      <c r="S451" s="165"/>
      <c r="T451" s="1">
        <v>0</v>
      </c>
      <c r="U451" s="1">
        <f>1119.1-197.3</f>
        <v>921.8</v>
      </c>
      <c r="V451" s="1">
        <f>466.5+457.8-63</f>
        <v>861.3</v>
      </c>
      <c r="W451" s="1">
        <v>0</v>
      </c>
      <c r="X451" s="1">
        <v>0</v>
      </c>
      <c r="Y451" s="1">
        <v>0</v>
      </c>
      <c r="Z451" s="1">
        <v>0</v>
      </c>
      <c r="AA451" s="53">
        <f t="shared" si="105"/>
        <v>1783.1</v>
      </c>
      <c r="AB451" s="52">
        <v>2020</v>
      </c>
      <c r="AC451" s="111"/>
      <c r="AD451" s="88"/>
      <c r="AE451" s="88"/>
    </row>
    <row r="452" spans="1:31" x14ac:dyDescent="0.25">
      <c r="A452" s="48" t="s">
        <v>18</v>
      </c>
      <c r="B452" s="48" t="s">
        <v>18</v>
      </c>
      <c r="C452" s="48" t="s">
        <v>25</v>
      </c>
      <c r="D452" s="48" t="s">
        <v>18</v>
      </c>
      <c r="E452" s="48" t="s">
        <v>18</v>
      </c>
      <c r="F452" s="48" t="s">
        <v>18</v>
      </c>
      <c r="G452" s="48" t="s">
        <v>18</v>
      </c>
      <c r="H452" s="48" t="s">
        <v>19</v>
      </c>
      <c r="I452" s="48" t="s">
        <v>24</v>
      </c>
      <c r="J452" s="48" t="s">
        <v>18</v>
      </c>
      <c r="K452" s="48" t="s">
        <v>18</v>
      </c>
      <c r="L452" s="48" t="s">
        <v>20</v>
      </c>
      <c r="M452" s="48" t="s">
        <v>36</v>
      </c>
      <c r="N452" s="48" t="s">
        <v>42</v>
      </c>
      <c r="O452" s="48" t="s">
        <v>18</v>
      </c>
      <c r="P452" s="48" t="s">
        <v>18</v>
      </c>
      <c r="Q452" s="48" t="s">
        <v>18</v>
      </c>
      <c r="R452" s="161"/>
      <c r="S452" s="165"/>
      <c r="T452" s="1">
        <v>0</v>
      </c>
      <c r="U452" s="1">
        <v>0</v>
      </c>
      <c r="V452" s="1">
        <v>0</v>
      </c>
      <c r="W452" s="1">
        <v>534.9</v>
      </c>
      <c r="X452" s="1">
        <f>723.3-466.9</f>
        <v>256.39999999999998</v>
      </c>
      <c r="Y452" s="1">
        <v>2110.6999999999998</v>
      </c>
      <c r="Z452" s="1">
        <v>2354</v>
      </c>
      <c r="AA452" s="53">
        <f t="shared" si="105"/>
        <v>5256</v>
      </c>
      <c r="AB452" s="52">
        <v>2024</v>
      </c>
      <c r="AC452" s="111"/>
      <c r="AD452" s="88"/>
      <c r="AE452" s="88"/>
    </row>
    <row r="453" spans="1:31" x14ac:dyDescent="0.25">
      <c r="A453" s="48" t="s">
        <v>18</v>
      </c>
      <c r="B453" s="48" t="s">
        <v>18</v>
      </c>
      <c r="C453" s="48" t="s">
        <v>25</v>
      </c>
      <c r="D453" s="48" t="s">
        <v>18</v>
      </c>
      <c r="E453" s="48" t="s">
        <v>18</v>
      </c>
      <c r="F453" s="48" t="s">
        <v>18</v>
      </c>
      <c r="G453" s="48" t="s">
        <v>18</v>
      </c>
      <c r="H453" s="48" t="s">
        <v>19</v>
      </c>
      <c r="I453" s="48" t="s">
        <v>24</v>
      </c>
      <c r="J453" s="48" t="s">
        <v>18</v>
      </c>
      <c r="K453" s="48" t="s">
        <v>18</v>
      </c>
      <c r="L453" s="48" t="s">
        <v>20</v>
      </c>
      <c r="M453" s="48" t="s">
        <v>19</v>
      </c>
      <c r="N453" s="48" t="s">
        <v>42</v>
      </c>
      <c r="O453" s="48" t="s">
        <v>18</v>
      </c>
      <c r="P453" s="48" t="s">
        <v>18</v>
      </c>
      <c r="Q453" s="48" t="s">
        <v>18</v>
      </c>
      <c r="R453" s="161"/>
      <c r="S453" s="165"/>
      <c r="T453" s="1">
        <v>0</v>
      </c>
      <c r="U453" s="1">
        <v>0</v>
      </c>
      <c r="V453" s="1">
        <v>0</v>
      </c>
      <c r="W453" s="1">
        <v>904.4</v>
      </c>
      <c r="X453" s="1">
        <v>1358.9</v>
      </c>
      <c r="Y453" s="1">
        <f>3561.6-507.7-30.3</f>
        <v>3023.6</v>
      </c>
      <c r="Z453" s="1">
        <v>11151.7</v>
      </c>
      <c r="AA453" s="53">
        <f t="shared" si="105"/>
        <v>16438.599999999999</v>
      </c>
      <c r="AB453" s="52">
        <v>2024</v>
      </c>
      <c r="AC453" s="111"/>
      <c r="AD453" s="88"/>
      <c r="AE453" s="88"/>
    </row>
    <row r="454" spans="1:31" x14ac:dyDescent="0.25">
      <c r="A454" s="48" t="s">
        <v>18</v>
      </c>
      <c r="B454" s="48" t="s">
        <v>18</v>
      </c>
      <c r="C454" s="48" t="s">
        <v>25</v>
      </c>
      <c r="D454" s="48" t="s">
        <v>18</v>
      </c>
      <c r="E454" s="48" t="s">
        <v>18</v>
      </c>
      <c r="F454" s="48" t="s">
        <v>18</v>
      </c>
      <c r="G454" s="48" t="s">
        <v>18</v>
      </c>
      <c r="H454" s="48" t="s">
        <v>19</v>
      </c>
      <c r="I454" s="48" t="s">
        <v>24</v>
      </c>
      <c r="J454" s="48" t="s">
        <v>18</v>
      </c>
      <c r="K454" s="48" t="s">
        <v>18</v>
      </c>
      <c r="L454" s="48" t="s">
        <v>20</v>
      </c>
      <c r="M454" s="48" t="s">
        <v>36</v>
      </c>
      <c r="N454" s="48" t="s">
        <v>42</v>
      </c>
      <c r="O454" s="48" t="s">
        <v>44</v>
      </c>
      <c r="P454" s="48" t="s">
        <v>18</v>
      </c>
      <c r="Q454" s="48" t="s">
        <v>18</v>
      </c>
      <c r="R454" s="161"/>
      <c r="S454" s="165"/>
      <c r="T454" s="1">
        <v>0</v>
      </c>
      <c r="U454" s="1">
        <v>0</v>
      </c>
      <c r="V454" s="1">
        <v>0</v>
      </c>
      <c r="W454" s="1">
        <v>399.4</v>
      </c>
      <c r="X454" s="1">
        <v>635.79999999999995</v>
      </c>
      <c r="Y454" s="1">
        <v>1065.0999999999999</v>
      </c>
      <c r="Z454" s="1">
        <v>3044.7</v>
      </c>
      <c r="AA454" s="53">
        <f t="shared" si="105"/>
        <v>5145</v>
      </c>
      <c r="AB454" s="52">
        <v>2024</v>
      </c>
      <c r="AC454" s="111"/>
      <c r="AD454" s="88"/>
      <c r="AE454" s="88"/>
    </row>
    <row r="455" spans="1:31" x14ac:dyDescent="0.25">
      <c r="A455" s="48" t="s">
        <v>18</v>
      </c>
      <c r="B455" s="48" t="s">
        <v>18</v>
      </c>
      <c r="C455" s="48" t="s">
        <v>25</v>
      </c>
      <c r="D455" s="48" t="s">
        <v>18</v>
      </c>
      <c r="E455" s="48" t="s">
        <v>18</v>
      </c>
      <c r="F455" s="48" t="s">
        <v>18</v>
      </c>
      <c r="G455" s="48" t="s">
        <v>18</v>
      </c>
      <c r="H455" s="48" t="s">
        <v>19</v>
      </c>
      <c r="I455" s="48" t="s">
        <v>24</v>
      </c>
      <c r="J455" s="48" t="s">
        <v>18</v>
      </c>
      <c r="K455" s="48" t="s">
        <v>18</v>
      </c>
      <c r="L455" s="48" t="s">
        <v>20</v>
      </c>
      <c r="M455" s="48" t="s">
        <v>19</v>
      </c>
      <c r="N455" s="48" t="s">
        <v>42</v>
      </c>
      <c r="O455" s="48" t="s">
        <v>22</v>
      </c>
      <c r="P455" s="48" t="s">
        <v>18</v>
      </c>
      <c r="Q455" s="48" t="s">
        <v>18</v>
      </c>
      <c r="R455" s="162"/>
      <c r="S455" s="166"/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150</v>
      </c>
      <c r="AA455" s="53">
        <f t="shared" si="105"/>
        <v>150</v>
      </c>
      <c r="AB455" s="52">
        <v>2024</v>
      </c>
      <c r="AC455" s="111"/>
      <c r="AD455" s="88"/>
      <c r="AE455" s="88"/>
    </row>
    <row r="456" spans="1:31" ht="31.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69" t="s">
        <v>277</v>
      </c>
      <c r="S456" s="55" t="s">
        <v>50</v>
      </c>
      <c r="T456" s="3">
        <v>1.5</v>
      </c>
      <c r="U456" s="3">
        <v>0.8</v>
      </c>
      <c r="V456" s="3">
        <v>0.6</v>
      </c>
      <c r="W456" s="3">
        <v>0.4</v>
      </c>
      <c r="X456" s="3">
        <v>0.8</v>
      </c>
      <c r="Y456" s="3">
        <v>2.9</v>
      </c>
      <c r="Z456" s="3">
        <v>4.3</v>
      </c>
      <c r="AA456" s="6">
        <f t="shared" ref="AA456:AA458" si="106">SUM(T456:Y456)</f>
        <v>7</v>
      </c>
      <c r="AB456" s="37">
        <v>2024</v>
      </c>
      <c r="AC456" s="115"/>
      <c r="AD456" s="88"/>
      <c r="AE456" s="88"/>
    </row>
    <row r="457" spans="1:31" ht="46.9" hidden="1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69" t="s">
        <v>170</v>
      </c>
      <c r="S457" s="73" t="s">
        <v>169</v>
      </c>
      <c r="T457" s="3"/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6">
        <f t="shared" si="106"/>
        <v>0</v>
      </c>
      <c r="AB457" s="37">
        <v>2024</v>
      </c>
      <c r="AC457" s="115"/>
      <c r="AD457" s="88"/>
      <c r="AE457" s="88"/>
    </row>
    <row r="458" spans="1:31" ht="31.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69" t="s">
        <v>278</v>
      </c>
      <c r="S458" s="73" t="s">
        <v>48</v>
      </c>
      <c r="T458" s="40">
        <v>10</v>
      </c>
      <c r="U458" s="40">
        <v>5</v>
      </c>
      <c r="V458" s="40">
        <v>2</v>
      </c>
      <c r="W458" s="40">
        <v>2</v>
      </c>
      <c r="X458" s="40">
        <v>2</v>
      </c>
      <c r="Y458" s="40">
        <v>3</v>
      </c>
      <c r="Z458" s="40">
        <v>4</v>
      </c>
      <c r="AA458" s="43">
        <f t="shared" si="106"/>
        <v>24</v>
      </c>
      <c r="AB458" s="37">
        <v>2024</v>
      </c>
      <c r="AC458" s="115"/>
      <c r="AD458" s="88"/>
      <c r="AE458" s="88"/>
    </row>
    <row r="459" spans="1:31" ht="31.5" x14ac:dyDescent="0.25">
      <c r="A459" s="48" t="s">
        <v>18</v>
      </c>
      <c r="B459" s="48" t="s">
        <v>19</v>
      </c>
      <c r="C459" s="48" t="s">
        <v>20</v>
      </c>
      <c r="D459" s="48" t="s">
        <v>18</v>
      </c>
      <c r="E459" s="48" t="s">
        <v>24</v>
      </c>
      <c r="F459" s="48" t="s">
        <v>18</v>
      </c>
      <c r="G459" s="48" t="s">
        <v>42</v>
      </c>
      <c r="H459" s="48" t="s">
        <v>19</v>
      </c>
      <c r="I459" s="48" t="s">
        <v>24</v>
      </c>
      <c r="J459" s="48" t="s">
        <v>18</v>
      </c>
      <c r="K459" s="48" t="s">
        <v>18</v>
      </c>
      <c r="L459" s="48" t="s">
        <v>20</v>
      </c>
      <c r="M459" s="48" t="s">
        <v>36</v>
      </c>
      <c r="N459" s="48" t="s">
        <v>42</v>
      </c>
      <c r="O459" s="48" t="s">
        <v>18</v>
      </c>
      <c r="P459" s="48" t="s">
        <v>18</v>
      </c>
      <c r="Q459" s="48" t="s">
        <v>18</v>
      </c>
      <c r="R459" s="66" t="s">
        <v>129</v>
      </c>
      <c r="S459" s="49" t="s">
        <v>0</v>
      </c>
      <c r="T459" s="1">
        <f>10000-9745-255</f>
        <v>0</v>
      </c>
      <c r="U459" s="1">
        <f>226.8-200-26.8</f>
        <v>0</v>
      </c>
      <c r="V459" s="1">
        <f>8228.3-8228.3</f>
        <v>0</v>
      </c>
      <c r="W459" s="1">
        <v>0</v>
      </c>
      <c r="X459" s="1">
        <f t="shared" ref="X459" si="107">8228.3-8228.3</f>
        <v>0</v>
      </c>
      <c r="Y459" s="1">
        <f>8000-6426.6-1573.4</f>
        <v>0</v>
      </c>
      <c r="Z459" s="1">
        <f>10000-5671.4</f>
        <v>4328.6000000000004</v>
      </c>
      <c r="AA459" s="53">
        <f t="shared" ref="AA459:AA512" si="108">SUM(T459:Z459)</f>
        <v>4328.6000000000004</v>
      </c>
      <c r="AB459" s="52">
        <v>2024</v>
      </c>
      <c r="AC459" s="105"/>
      <c r="AD459" s="88"/>
      <c r="AE459" s="88"/>
    </row>
    <row r="460" spans="1:31" ht="47.25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67" t="s">
        <v>279</v>
      </c>
      <c r="S460" s="55" t="s">
        <v>50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1</v>
      </c>
      <c r="AA460" s="6">
        <f t="shared" si="108"/>
        <v>1</v>
      </c>
      <c r="AB460" s="37">
        <v>2024</v>
      </c>
      <c r="AC460" s="115"/>
      <c r="AD460" s="88"/>
      <c r="AE460" s="88"/>
    </row>
    <row r="461" spans="1:31" ht="47.25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67" t="s">
        <v>280</v>
      </c>
      <c r="S461" s="55" t="s">
        <v>37</v>
      </c>
      <c r="T461" s="40">
        <v>0</v>
      </c>
      <c r="U461" s="40">
        <v>0</v>
      </c>
      <c r="V461" s="40">
        <v>0</v>
      </c>
      <c r="W461" s="40">
        <v>0</v>
      </c>
      <c r="X461" s="40">
        <v>0</v>
      </c>
      <c r="Y461" s="40">
        <v>0</v>
      </c>
      <c r="Z461" s="40">
        <v>1</v>
      </c>
      <c r="AA461" s="43">
        <f t="shared" si="108"/>
        <v>1</v>
      </c>
      <c r="AB461" s="37">
        <v>2024</v>
      </c>
      <c r="AC461" s="115"/>
      <c r="AD461" s="88"/>
      <c r="AE461" s="88"/>
    </row>
    <row r="462" spans="1:31" s="45" customFormat="1" x14ac:dyDescent="0.25">
      <c r="A462" s="48" t="s">
        <v>18</v>
      </c>
      <c r="B462" s="48" t="s">
        <v>24</v>
      </c>
      <c r="C462" s="48" t="s">
        <v>22</v>
      </c>
      <c r="D462" s="48" t="s">
        <v>18</v>
      </c>
      <c r="E462" s="48" t="s">
        <v>21</v>
      </c>
      <c r="F462" s="48" t="s">
        <v>18</v>
      </c>
      <c r="G462" s="48" t="s">
        <v>22</v>
      </c>
      <c r="H462" s="48" t="s">
        <v>19</v>
      </c>
      <c r="I462" s="48" t="s">
        <v>24</v>
      </c>
      <c r="J462" s="48" t="s">
        <v>18</v>
      </c>
      <c r="K462" s="48" t="s">
        <v>230</v>
      </c>
      <c r="L462" s="48" t="s">
        <v>20</v>
      </c>
      <c r="M462" s="48" t="s">
        <v>18</v>
      </c>
      <c r="N462" s="48" t="s">
        <v>18</v>
      </c>
      <c r="O462" s="48" t="s">
        <v>18</v>
      </c>
      <c r="P462" s="48" t="s">
        <v>18</v>
      </c>
      <c r="Q462" s="48" t="s">
        <v>18</v>
      </c>
      <c r="R462" s="160" t="s">
        <v>291</v>
      </c>
      <c r="S462" s="150" t="s">
        <v>0</v>
      </c>
      <c r="T462" s="53">
        <v>0</v>
      </c>
      <c r="U462" s="53">
        <f>2801.1-100-2701.1</f>
        <v>0</v>
      </c>
      <c r="V462" s="53">
        <f>2801.1-2801.1</f>
        <v>0</v>
      </c>
      <c r="W462" s="53">
        <f>SUM(W463:W464)</f>
        <v>15653.2</v>
      </c>
      <c r="X462" s="53">
        <f t="shared" ref="X462:Z462" si="109">SUM(X463:X464)</f>
        <v>11444.1</v>
      </c>
      <c r="Y462" s="53">
        <f t="shared" si="109"/>
        <v>0</v>
      </c>
      <c r="Z462" s="53">
        <f t="shared" si="109"/>
        <v>0</v>
      </c>
      <c r="AA462" s="53">
        <f t="shared" ref="AA462:AA466" si="110">SUM(T462:Z462)</f>
        <v>27097.300000000003</v>
      </c>
      <c r="AB462" s="52">
        <v>2022</v>
      </c>
      <c r="AC462" s="31"/>
      <c r="AD462" s="44"/>
    </row>
    <row r="463" spans="1:31" s="45" customFormat="1" x14ac:dyDescent="0.25">
      <c r="A463" s="48" t="s">
        <v>18</v>
      </c>
      <c r="B463" s="48" t="s">
        <v>24</v>
      </c>
      <c r="C463" s="48" t="s">
        <v>22</v>
      </c>
      <c r="D463" s="48" t="s">
        <v>18</v>
      </c>
      <c r="E463" s="48" t="s">
        <v>21</v>
      </c>
      <c r="F463" s="48" t="s">
        <v>18</v>
      </c>
      <c r="G463" s="48" t="s">
        <v>22</v>
      </c>
      <c r="H463" s="48" t="s">
        <v>19</v>
      </c>
      <c r="I463" s="48" t="s">
        <v>24</v>
      </c>
      <c r="J463" s="48" t="s">
        <v>18</v>
      </c>
      <c r="K463" s="48" t="s">
        <v>230</v>
      </c>
      <c r="L463" s="48" t="s">
        <v>20</v>
      </c>
      <c r="M463" s="48" t="s">
        <v>21</v>
      </c>
      <c r="N463" s="48" t="s">
        <v>21</v>
      </c>
      <c r="O463" s="48" t="s">
        <v>21</v>
      </c>
      <c r="P463" s="48" t="s">
        <v>21</v>
      </c>
      <c r="Q463" s="48" t="s">
        <v>20</v>
      </c>
      <c r="R463" s="161"/>
      <c r="S463" s="151"/>
      <c r="T463" s="1">
        <v>0</v>
      </c>
      <c r="U463" s="1">
        <f t="shared" ref="U463:U464" si="111">2801.1-100-2701.1</f>
        <v>0</v>
      </c>
      <c r="V463" s="1">
        <f t="shared" ref="V463:V464" si="112">2801.1-2801.1</f>
        <v>0</v>
      </c>
      <c r="W463" s="1">
        <f>15752-435.9</f>
        <v>15316.1</v>
      </c>
      <c r="X463" s="1">
        <f>11439.8+115.6-111.3</f>
        <v>11444.1</v>
      </c>
      <c r="Y463" s="1">
        <v>0</v>
      </c>
      <c r="Z463" s="1">
        <v>0</v>
      </c>
      <c r="AA463" s="53">
        <f t="shared" si="110"/>
        <v>26760.2</v>
      </c>
      <c r="AB463" s="52">
        <v>2022</v>
      </c>
      <c r="AC463" s="31"/>
      <c r="AD463" s="44"/>
    </row>
    <row r="464" spans="1:31" s="45" customFormat="1" x14ac:dyDescent="0.25">
      <c r="A464" s="48" t="s">
        <v>18</v>
      </c>
      <c r="B464" s="48" t="s">
        <v>24</v>
      </c>
      <c r="C464" s="48" t="s">
        <v>22</v>
      </c>
      <c r="D464" s="48" t="s">
        <v>18</v>
      </c>
      <c r="E464" s="48" t="s">
        <v>21</v>
      </c>
      <c r="F464" s="48" t="s">
        <v>18</v>
      </c>
      <c r="G464" s="48" t="s">
        <v>22</v>
      </c>
      <c r="H464" s="48" t="s">
        <v>19</v>
      </c>
      <c r="I464" s="48" t="s">
        <v>24</v>
      </c>
      <c r="J464" s="48" t="s">
        <v>18</v>
      </c>
      <c r="K464" s="48" t="s">
        <v>230</v>
      </c>
      <c r="L464" s="48" t="s">
        <v>20</v>
      </c>
      <c r="M464" s="48" t="s">
        <v>18</v>
      </c>
      <c r="N464" s="48" t="s">
        <v>18</v>
      </c>
      <c r="O464" s="48" t="s">
        <v>21</v>
      </c>
      <c r="P464" s="48" t="s">
        <v>21</v>
      </c>
      <c r="Q464" s="48" t="s">
        <v>20</v>
      </c>
      <c r="R464" s="162"/>
      <c r="S464" s="152"/>
      <c r="T464" s="1">
        <v>0</v>
      </c>
      <c r="U464" s="1">
        <f t="shared" si="111"/>
        <v>0</v>
      </c>
      <c r="V464" s="1">
        <f t="shared" si="112"/>
        <v>0</v>
      </c>
      <c r="W464" s="1">
        <v>337.1</v>
      </c>
      <c r="X464" s="1">
        <f>247.3-247.3</f>
        <v>0</v>
      </c>
      <c r="Y464" s="1">
        <v>0</v>
      </c>
      <c r="Z464" s="1">
        <v>0</v>
      </c>
      <c r="AA464" s="53">
        <f t="shared" si="110"/>
        <v>337.1</v>
      </c>
      <c r="AB464" s="52">
        <v>2021</v>
      </c>
      <c r="AC464" s="31"/>
      <c r="AD464" s="44"/>
    </row>
    <row r="465" spans="1:30" s="45" customFormat="1" ht="31.5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67" t="s">
        <v>225</v>
      </c>
      <c r="S465" s="46" t="s">
        <v>37</v>
      </c>
      <c r="T465" s="40">
        <v>0</v>
      </c>
      <c r="U465" s="40">
        <v>0</v>
      </c>
      <c r="V465" s="40">
        <v>0</v>
      </c>
      <c r="W465" s="40">
        <v>2</v>
      </c>
      <c r="X465" s="40">
        <v>1</v>
      </c>
      <c r="Y465" s="40">
        <v>0</v>
      </c>
      <c r="Z465" s="40">
        <v>0</v>
      </c>
      <c r="AA465" s="43">
        <f>SUM(T465:Z465)</f>
        <v>3</v>
      </c>
      <c r="AB465" s="148">
        <v>2022</v>
      </c>
      <c r="AC465" s="31"/>
      <c r="AD465" s="44"/>
    </row>
    <row r="466" spans="1:30" s="8" customFormat="1" ht="31.5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69" t="s">
        <v>226</v>
      </c>
      <c r="S466" s="55" t="s">
        <v>50</v>
      </c>
      <c r="T466" s="3">
        <v>0</v>
      </c>
      <c r="U466" s="3">
        <v>0</v>
      </c>
      <c r="V466" s="3">
        <v>0</v>
      </c>
      <c r="W466" s="3">
        <v>6.4</v>
      </c>
      <c r="X466" s="3">
        <v>3.7</v>
      </c>
      <c r="Y466" s="3">
        <v>0</v>
      </c>
      <c r="Z466" s="3">
        <v>0</v>
      </c>
      <c r="AA466" s="47">
        <f t="shared" si="110"/>
        <v>10.100000000000001</v>
      </c>
      <c r="AB466" s="148">
        <v>2022</v>
      </c>
      <c r="AC466" s="31"/>
      <c r="AD466" s="54"/>
    </row>
    <row r="467" spans="1:30" s="45" customFormat="1" ht="47.25" hidden="1" x14ac:dyDescent="0.25">
      <c r="A467" s="48" t="s">
        <v>18</v>
      </c>
      <c r="B467" s="48" t="s">
        <v>18</v>
      </c>
      <c r="C467" s="48" t="s">
        <v>22</v>
      </c>
      <c r="D467" s="48" t="s">
        <v>18</v>
      </c>
      <c r="E467" s="48" t="s">
        <v>21</v>
      </c>
      <c r="F467" s="48" t="s">
        <v>18</v>
      </c>
      <c r="G467" s="48" t="s">
        <v>22</v>
      </c>
      <c r="H467" s="48" t="s">
        <v>19</v>
      </c>
      <c r="I467" s="48" t="s">
        <v>24</v>
      </c>
      <c r="J467" s="48" t="s">
        <v>18</v>
      </c>
      <c r="K467" s="48" t="s">
        <v>230</v>
      </c>
      <c r="L467" s="48" t="s">
        <v>20</v>
      </c>
      <c r="M467" s="48" t="s">
        <v>21</v>
      </c>
      <c r="N467" s="48" t="s">
        <v>21</v>
      </c>
      <c r="O467" s="48" t="s">
        <v>21</v>
      </c>
      <c r="P467" s="48" t="s">
        <v>21</v>
      </c>
      <c r="Q467" s="48" t="s">
        <v>20</v>
      </c>
      <c r="R467" s="144" t="s">
        <v>291</v>
      </c>
      <c r="S467" s="49" t="s">
        <v>0</v>
      </c>
      <c r="T467" s="1">
        <v>0</v>
      </c>
      <c r="U467" s="1">
        <f>3100.4-200-2900.4</f>
        <v>0</v>
      </c>
      <c r="V467" s="1">
        <f>2000.4-2000.4</f>
        <v>0</v>
      </c>
      <c r="W467" s="1">
        <v>0</v>
      </c>
      <c r="X467" s="1">
        <f>3100.4-200-2900.4</f>
        <v>0</v>
      </c>
      <c r="Y467" s="1">
        <f>2000.4-2000.4</f>
        <v>0</v>
      </c>
      <c r="Z467" s="1">
        <v>0</v>
      </c>
      <c r="AA467" s="53">
        <f t="shared" si="108"/>
        <v>0</v>
      </c>
      <c r="AB467" s="52">
        <v>2024</v>
      </c>
      <c r="AC467" s="31"/>
      <c r="AD467" s="44"/>
    </row>
    <row r="468" spans="1:30" s="45" customFormat="1" ht="47.25" hidden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67" t="s">
        <v>122</v>
      </c>
      <c r="S468" s="46" t="s">
        <v>37</v>
      </c>
      <c r="T468" s="40">
        <v>0</v>
      </c>
      <c r="U468" s="40">
        <v>0</v>
      </c>
      <c r="V468" s="40">
        <f>12-12</f>
        <v>0</v>
      </c>
      <c r="W468" s="40">
        <v>0</v>
      </c>
      <c r="X468" s="40">
        <v>0</v>
      </c>
      <c r="Y468" s="40">
        <f>12-12</f>
        <v>0</v>
      </c>
      <c r="Z468" s="40">
        <v>0</v>
      </c>
      <c r="AA468" s="43">
        <f t="shared" si="108"/>
        <v>0</v>
      </c>
      <c r="AB468" s="148">
        <v>2024</v>
      </c>
      <c r="AC468" s="31"/>
      <c r="AD468" s="44"/>
    </row>
    <row r="469" spans="1:30" s="45" customFormat="1" ht="47.25" hidden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67" t="s">
        <v>123</v>
      </c>
      <c r="S469" s="46" t="s">
        <v>50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47">
        <f t="shared" si="108"/>
        <v>0</v>
      </c>
      <c r="AB469" s="148">
        <v>2024</v>
      </c>
      <c r="AC469" s="31"/>
      <c r="AD469" s="44"/>
    </row>
    <row r="470" spans="1:30" s="45" customFormat="1" ht="47.25" hidden="1" x14ac:dyDescent="0.25">
      <c r="A470" s="48" t="s">
        <v>18</v>
      </c>
      <c r="B470" s="48" t="s">
        <v>18</v>
      </c>
      <c r="C470" s="48" t="s">
        <v>24</v>
      </c>
      <c r="D470" s="48" t="s">
        <v>18</v>
      </c>
      <c r="E470" s="48" t="s">
        <v>21</v>
      </c>
      <c r="F470" s="48" t="s">
        <v>18</v>
      </c>
      <c r="G470" s="48" t="s">
        <v>22</v>
      </c>
      <c r="H470" s="48" t="s">
        <v>19</v>
      </c>
      <c r="I470" s="48" t="s">
        <v>24</v>
      </c>
      <c r="J470" s="48" t="s">
        <v>18</v>
      </c>
      <c r="K470" s="48" t="s">
        <v>230</v>
      </c>
      <c r="L470" s="48" t="s">
        <v>20</v>
      </c>
      <c r="M470" s="48" t="s">
        <v>21</v>
      </c>
      <c r="N470" s="48" t="s">
        <v>21</v>
      </c>
      <c r="O470" s="48" t="s">
        <v>21</v>
      </c>
      <c r="P470" s="48" t="s">
        <v>21</v>
      </c>
      <c r="Q470" s="48" t="s">
        <v>20</v>
      </c>
      <c r="R470" s="144" t="s">
        <v>291</v>
      </c>
      <c r="S470" s="49" t="s">
        <v>0</v>
      </c>
      <c r="T470" s="1">
        <v>0</v>
      </c>
      <c r="U470" s="1">
        <f>2000-100-1900</f>
        <v>0</v>
      </c>
      <c r="V470" s="1">
        <f>2000-2000</f>
        <v>0</v>
      </c>
      <c r="W470" s="1">
        <v>0</v>
      </c>
      <c r="X470" s="1">
        <f>2000-100-1900</f>
        <v>0</v>
      </c>
      <c r="Y470" s="1">
        <f>2000-2000</f>
        <v>0</v>
      </c>
      <c r="Z470" s="1">
        <v>0</v>
      </c>
      <c r="AA470" s="53">
        <f t="shared" si="108"/>
        <v>0</v>
      </c>
      <c r="AB470" s="52">
        <v>2024</v>
      </c>
      <c r="AC470" s="31"/>
      <c r="AD470" s="44"/>
    </row>
    <row r="471" spans="1:30" s="45" customFormat="1" ht="47.25" hidden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67" t="s">
        <v>238</v>
      </c>
      <c r="S471" s="46" t="s">
        <v>37</v>
      </c>
      <c r="T471" s="40">
        <v>0</v>
      </c>
      <c r="U471" s="40">
        <v>0</v>
      </c>
      <c r="V471" s="40">
        <v>0</v>
      </c>
      <c r="W471" s="40">
        <v>0</v>
      </c>
      <c r="X471" s="40">
        <v>0</v>
      </c>
      <c r="Y471" s="40">
        <v>0</v>
      </c>
      <c r="Z471" s="40">
        <v>0</v>
      </c>
      <c r="AA471" s="43">
        <f t="shared" si="108"/>
        <v>0</v>
      </c>
      <c r="AB471" s="148">
        <v>2024</v>
      </c>
      <c r="AC471" s="31"/>
      <c r="AD471" s="44"/>
    </row>
    <row r="472" spans="1:30" s="45" customFormat="1" ht="47.25" hidden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67" t="s">
        <v>239</v>
      </c>
      <c r="S472" s="46" t="s">
        <v>50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47">
        <f t="shared" si="108"/>
        <v>0</v>
      </c>
      <c r="AB472" s="148">
        <v>2024</v>
      </c>
      <c r="AC472" s="108"/>
      <c r="AD472" s="100"/>
    </row>
    <row r="473" spans="1:30" s="45" customFormat="1" ht="47.25" hidden="1" x14ac:dyDescent="0.25">
      <c r="A473" s="48" t="s">
        <v>18</v>
      </c>
      <c r="B473" s="48" t="s">
        <v>18</v>
      </c>
      <c r="C473" s="48" t="s">
        <v>21</v>
      </c>
      <c r="D473" s="48" t="s">
        <v>18</v>
      </c>
      <c r="E473" s="48" t="s">
        <v>21</v>
      </c>
      <c r="F473" s="48" t="s">
        <v>18</v>
      </c>
      <c r="G473" s="48" t="s">
        <v>22</v>
      </c>
      <c r="H473" s="48" t="s">
        <v>19</v>
      </c>
      <c r="I473" s="48" t="s">
        <v>24</v>
      </c>
      <c r="J473" s="48" t="s">
        <v>18</v>
      </c>
      <c r="K473" s="48" t="s">
        <v>230</v>
      </c>
      <c r="L473" s="48" t="s">
        <v>20</v>
      </c>
      <c r="M473" s="48" t="s">
        <v>21</v>
      </c>
      <c r="N473" s="48" t="s">
        <v>21</v>
      </c>
      <c r="O473" s="48" t="s">
        <v>21</v>
      </c>
      <c r="P473" s="48" t="s">
        <v>21</v>
      </c>
      <c r="Q473" s="48" t="s">
        <v>20</v>
      </c>
      <c r="R473" s="144" t="s">
        <v>292</v>
      </c>
      <c r="S473" s="49" t="s">
        <v>0</v>
      </c>
      <c r="T473" s="1">
        <v>0</v>
      </c>
      <c r="U473" s="1">
        <f>2860.5-100-2760.5</f>
        <v>0</v>
      </c>
      <c r="V473" s="1">
        <f>2860.6-2860.6</f>
        <v>0</v>
      </c>
      <c r="W473" s="1">
        <v>0</v>
      </c>
      <c r="X473" s="1">
        <f>2860.5-100-2760.5</f>
        <v>0</v>
      </c>
      <c r="Y473" s="1">
        <f>2860.6-2860.6</f>
        <v>0</v>
      </c>
      <c r="Z473" s="1">
        <v>0</v>
      </c>
      <c r="AA473" s="53">
        <f t="shared" si="108"/>
        <v>0</v>
      </c>
      <c r="AB473" s="52">
        <v>2024</v>
      </c>
      <c r="AC473" s="31"/>
      <c r="AD473" s="44"/>
    </row>
    <row r="474" spans="1:30" s="45" customFormat="1" ht="47.25" hidden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67" t="s">
        <v>240</v>
      </c>
      <c r="S474" s="46" t="s">
        <v>37</v>
      </c>
      <c r="T474" s="40">
        <v>0</v>
      </c>
      <c r="U474" s="40">
        <v>0</v>
      </c>
      <c r="V474" s="40">
        <v>0</v>
      </c>
      <c r="W474" s="40">
        <v>0</v>
      </c>
      <c r="X474" s="40">
        <v>0</v>
      </c>
      <c r="Y474" s="40">
        <v>0</v>
      </c>
      <c r="Z474" s="40">
        <v>0</v>
      </c>
      <c r="AA474" s="43">
        <f t="shared" si="108"/>
        <v>0</v>
      </c>
      <c r="AB474" s="148">
        <v>2024</v>
      </c>
      <c r="AC474" s="31"/>
      <c r="AD474" s="44"/>
    </row>
    <row r="475" spans="1:30" s="45" customFormat="1" ht="47.25" hidden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67" t="s">
        <v>241</v>
      </c>
      <c r="S475" s="46" t="s">
        <v>50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47">
        <f t="shared" si="108"/>
        <v>0</v>
      </c>
      <c r="AB475" s="148">
        <v>2024</v>
      </c>
      <c r="AC475" s="31"/>
      <c r="AD475" s="44"/>
    </row>
    <row r="476" spans="1:30" s="45" customFormat="1" ht="47.25" hidden="1" x14ac:dyDescent="0.25">
      <c r="A476" s="48" t="s">
        <v>18</v>
      </c>
      <c r="B476" s="48" t="s">
        <v>18</v>
      </c>
      <c r="C476" s="48" t="s">
        <v>25</v>
      </c>
      <c r="D476" s="48" t="s">
        <v>18</v>
      </c>
      <c r="E476" s="48" t="s">
        <v>21</v>
      </c>
      <c r="F476" s="48" t="s">
        <v>18</v>
      </c>
      <c r="G476" s="48" t="s">
        <v>22</v>
      </c>
      <c r="H476" s="48" t="s">
        <v>19</v>
      </c>
      <c r="I476" s="48" t="s">
        <v>24</v>
      </c>
      <c r="J476" s="48" t="s">
        <v>18</v>
      </c>
      <c r="K476" s="48" t="s">
        <v>230</v>
      </c>
      <c r="L476" s="48" t="s">
        <v>20</v>
      </c>
      <c r="M476" s="48" t="s">
        <v>21</v>
      </c>
      <c r="N476" s="48" t="s">
        <v>21</v>
      </c>
      <c r="O476" s="48" t="s">
        <v>21</v>
      </c>
      <c r="P476" s="48" t="s">
        <v>21</v>
      </c>
      <c r="Q476" s="48" t="s">
        <v>20</v>
      </c>
      <c r="R476" s="144" t="s">
        <v>291</v>
      </c>
      <c r="S476" s="49" t="s">
        <v>0</v>
      </c>
      <c r="T476" s="1">
        <v>0</v>
      </c>
      <c r="U476" s="1">
        <f>2801.1-100-2701.1</f>
        <v>0</v>
      </c>
      <c r="V476" s="1">
        <f>2801.1-2801.1</f>
        <v>0</v>
      </c>
      <c r="W476" s="1">
        <v>0</v>
      </c>
      <c r="X476" s="1">
        <f>2801.1-100-2701.1</f>
        <v>0</v>
      </c>
      <c r="Y476" s="1">
        <f>2801.1-2801.1</f>
        <v>0</v>
      </c>
      <c r="Z476" s="1">
        <v>0</v>
      </c>
      <c r="AA476" s="53">
        <f t="shared" si="108"/>
        <v>0</v>
      </c>
      <c r="AB476" s="52">
        <v>2024</v>
      </c>
      <c r="AC476" s="31"/>
      <c r="AD476" s="44"/>
    </row>
    <row r="477" spans="1:30" s="45" customFormat="1" ht="47.25" hidden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67" t="s">
        <v>242</v>
      </c>
      <c r="S477" s="46" t="s">
        <v>37</v>
      </c>
      <c r="T477" s="40">
        <v>0</v>
      </c>
      <c r="U477" s="40">
        <v>0</v>
      </c>
      <c r="V477" s="40">
        <v>0</v>
      </c>
      <c r="W477" s="40">
        <v>0</v>
      </c>
      <c r="X477" s="40">
        <v>0</v>
      </c>
      <c r="Y477" s="40">
        <v>0</v>
      </c>
      <c r="Z477" s="40">
        <v>0</v>
      </c>
      <c r="AA477" s="43">
        <f t="shared" si="108"/>
        <v>0</v>
      </c>
      <c r="AB477" s="148">
        <v>2024</v>
      </c>
      <c r="AC477" s="31"/>
      <c r="AD477" s="44"/>
    </row>
    <row r="478" spans="1:30" s="45" customFormat="1" ht="47.25" hidden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67" t="s">
        <v>243</v>
      </c>
      <c r="S478" s="46" t="s">
        <v>50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47">
        <f t="shared" si="108"/>
        <v>0</v>
      </c>
      <c r="AB478" s="148">
        <v>2024</v>
      </c>
      <c r="AC478" s="31"/>
      <c r="AD478" s="44"/>
    </row>
    <row r="479" spans="1:30" s="45" customFormat="1" hidden="1" x14ac:dyDescent="0.25">
      <c r="A479" s="48" t="s">
        <v>18</v>
      </c>
      <c r="B479" s="48" t="s">
        <v>24</v>
      </c>
      <c r="C479" s="48" t="s">
        <v>22</v>
      </c>
      <c r="D479" s="48" t="s">
        <v>18</v>
      </c>
      <c r="E479" s="48" t="s">
        <v>21</v>
      </c>
      <c r="F479" s="48" t="s">
        <v>18</v>
      </c>
      <c r="G479" s="48" t="s">
        <v>22</v>
      </c>
      <c r="H479" s="48" t="s">
        <v>19</v>
      </c>
      <c r="I479" s="48" t="s">
        <v>24</v>
      </c>
      <c r="J479" s="48" t="s">
        <v>18</v>
      </c>
      <c r="K479" s="48" t="s">
        <v>230</v>
      </c>
      <c r="L479" s="48" t="s">
        <v>20</v>
      </c>
      <c r="M479" s="48" t="s">
        <v>18</v>
      </c>
      <c r="N479" s="48" t="s">
        <v>18</v>
      </c>
      <c r="O479" s="48" t="s">
        <v>18</v>
      </c>
      <c r="P479" s="48" t="s">
        <v>18</v>
      </c>
      <c r="Q479" s="48" t="s">
        <v>18</v>
      </c>
      <c r="R479" s="160" t="s">
        <v>291</v>
      </c>
      <c r="S479" s="157" t="s">
        <v>0</v>
      </c>
      <c r="T479" s="1">
        <v>0</v>
      </c>
      <c r="U479" s="1">
        <f>2801.1-100-2701.1</f>
        <v>0</v>
      </c>
      <c r="V479" s="1">
        <f>2801.1-2801.1</f>
        <v>0</v>
      </c>
      <c r="W479" s="1"/>
      <c r="X479" s="1"/>
      <c r="Y479" s="1"/>
      <c r="Z479" s="1"/>
      <c r="AA479" s="53"/>
      <c r="AB479" s="52"/>
      <c r="AC479" s="31"/>
      <c r="AD479" s="44"/>
    </row>
    <row r="480" spans="1:30" s="45" customFormat="1" hidden="1" x14ac:dyDescent="0.25">
      <c r="A480" s="48" t="s">
        <v>18</v>
      </c>
      <c r="B480" s="48" t="s">
        <v>24</v>
      </c>
      <c r="C480" s="48" t="s">
        <v>22</v>
      </c>
      <c r="D480" s="48" t="s">
        <v>18</v>
      </c>
      <c r="E480" s="48" t="s">
        <v>21</v>
      </c>
      <c r="F480" s="48" t="s">
        <v>18</v>
      </c>
      <c r="G480" s="48" t="s">
        <v>22</v>
      </c>
      <c r="H480" s="48" t="s">
        <v>19</v>
      </c>
      <c r="I480" s="48" t="s">
        <v>24</v>
      </c>
      <c r="J480" s="48" t="s">
        <v>18</v>
      </c>
      <c r="K480" s="48" t="s">
        <v>230</v>
      </c>
      <c r="L480" s="48" t="s">
        <v>20</v>
      </c>
      <c r="M480" s="48" t="s">
        <v>21</v>
      </c>
      <c r="N480" s="48" t="s">
        <v>21</v>
      </c>
      <c r="O480" s="48" t="s">
        <v>21</v>
      </c>
      <c r="P480" s="48" t="s">
        <v>21</v>
      </c>
      <c r="Q480" s="48" t="s">
        <v>20</v>
      </c>
      <c r="R480" s="161"/>
      <c r="S480" s="158"/>
      <c r="T480" s="1">
        <v>0</v>
      </c>
      <c r="U480" s="1">
        <f t="shared" ref="U480:U481" si="113">2801.1-100-2701.1</f>
        <v>0</v>
      </c>
      <c r="V480" s="1">
        <f t="shared" ref="V480:V481" si="114">2801.1-2801.1</f>
        <v>0</v>
      </c>
      <c r="W480" s="1"/>
      <c r="X480" s="1"/>
      <c r="Y480" s="1"/>
      <c r="Z480" s="1"/>
      <c r="AA480" s="53"/>
      <c r="AB480" s="52"/>
      <c r="AC480" s="31"/>
      <c r="AD480" s="44"/>
    </row>
    <row r="481" spans="1:30" s="45" customFormat="1" hidden="1" x14ac:dyDescent="0.25">
      <c r="A481" s="48" t="s">
        <v>18</v>
      </c>
      <c r="B481" s="48" t="s">
        <v>24</v>
      </c>
      <c r="C481" s="48" t="s">
        <v>22</v>
      </c>
      <c r="D481" s="48" t="s">
        <v>18</v>
      </c>
      <c r="E481" s="48" t="s">
        <v>21</v>
      </c>
      <c r="F481" s="48" t="s">
        <v>18</v>
      </c>
      <c r="G481" s="48" t="s">
        <v>22</v>
      </c>
      <c r="H481" s="48" t="s">
        <v>19</v>
      </c>
      <c r="I481" s="48" t="s">
        <v>24</v>
      </c>
      <c r="J481" s="48" t="s">
        <v>18</v>
      </c>
      <c r="K481" s="48" t="s">
        <v>230</v>
      </c>
      <c r="L481" s="48" t="s">
        <v>20</v>
      </c>
      <c r="M481" s="48" t="s">
        <v>18</v>
      </c>
      <c r="N481" s="48" t="s">
        <v>18</v>
      </c>
      <c r="O481" s="48" t="s">
        <v>21</v>
      </c>
      <c r="P481" s="48" t="s">
        <v>21</v>
      </c>
      <c r="Q481" s="48" t="s">
        <v>20</v>
      </c>
      <c r="R481" s="162"/>
      <c r="S481" s="159"/>
      <c r="T481" s="1">
        <v>0</v>
      </c>
      <c r="U481" s="1">
        <f t="shared" si="113"/>
        <v>0</v>
      </c>
      <c r="V481" s="1">
        <f t="shared" si="114"/>
        <v>0</v>
      </c>
      <c r="W481" s="1"/>
      <c r="X481" s="1"/>
      <c r="Y481" s="1"/>
      <c r="Z481" s="1"/>
      <c r="AA481" s="53"/>
      <c r="AB481" s="52"/>
      <c r="AC481" s="31"/>
      <c r="AD481" s="44"/>
    </row>
    <row r="482" spans="1:30" s="45" customFormat="1" ht="31.5" hidden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67" t="s">
        <v>298</v>
      </c>
      <c r="S482" s="46" t="s">
        <v>37</v>
      </c>
      <c r="T482" s="40"/>
      <c r="U482" s="40"/>
      <c r="V482" s="40"/>
      <c r="W482" s="40"/>
      <c r="X482" s="40"/>
      <c r="Y482" s="40"/>
      <c r="Z482" s="40"/>
      <c r="AA482" s="43"/>
      <c r="AB482" s="148"/>
      <c r="AC482" s="31"/>
      <c r="AD482" s="44"/>
    </row>
    <row r="483" spans="1:30" s="45" customFormat="1" ht="31.5" hidden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67" t="s">
        <v>299</v>
      </c>
      <c r="S483" s="46" t="s">
        <v>50</v>
      </c>
      <c r="T483" s="3"/>
      <c r="U483" s="3"/>
      <c r="V483" s="3"/>
      <c r="W483" s="3"/>
      <c r="X483" s="3"/>
      <c r="Y483" s="3"/>
      <c r="Z483" s="3"/>
      <c r="AA483" s="47"/>
      <c r="AB483" s="148"/>
      <c r="AC483" s="31"/>
      <c r="AD483" s="44"/>
    </row>
    <row r="484" spans="1:30" s="45" customFormat="1" ht="31.5" x14ac:dyDescent="0.25">
      <c r="A484" s="48"/>
      <c r="B484" s="48"/>
      <c r="C484" s="48"/>
      <c r="D484" s="48"/>
      <c r="E484" s="48"/>
      <c r="F484" s="48"/>
      <c r="G484" s="48"/>
      <c r="H484" s="48" t="s">
        <v>19</v>
      </c>
      <c r="I484" s="48" t="s">
        <v>24</v>
      </c>
      <c r="J484" s="48" t="s">
        <v>18</v>
      </c>
      <c r="K484" s="48" t="s">
        <v>19</v>
      </c>
      <c r="L484" s="48" t="s">
        <v>319</v>
      </c>
      <c r="M484" s="48" t="s">
        <v>18</v>
      </c>
      <c r="N484" s="48" t="s">
        <v>18</v>
      </c>
      <c r="O484" s="48" t="s">
        <v>18</v>
      </c>
      <c r="P484" s="48" t="s">
        <v>18</v>
      </c>
      <c r="Q484" s="48" t="s">
        <v>18</v>
      </c>
      <c r="R484" s="66" t="s">
        <v>300</v>
      </c>
      <c r="S484" s="49" t="s">
        <v>0</v>
      </c>
      <c r="T484" s="53">
        <f>T497+T502</f>
        <v>0</v>
      </c>
      <c r="U484" s="53">
        <f t="shared" ref="U484:X484" si="115">U497+U502</f>
        <v>0</v>
      </c>
      <c r="V484" s="53">
        <f t="shared" si="115"/>
        <v>0</v>
      </c>
      <c r="W484" s="53">
        <f t="shared" si="115"/>
        <v>0</v>
      </c>
      <c r="X484" s="53">
        <f t="shared" si="115"/>
        <v>0</v>
      </c>
      <c r="Y484" s="53">
        <f>Y492+Y497+Y502</f>
        <v>10331.6</v>
      </c>
      <c r="Z484" s="53">
        <f>Z492+Z497+Z502+Z487</f>
        <v>18011.3</v>
      </c>
      <c r="AA484" s="53">
        <f>SUM(T484:Z484)</f>
        <v>28342.9</v>
      </c>
      <c r="AB484" s="52">
        <v>2024</v>
      </c>
      <c r="AC484" s="31"/>
      <c r="AD484" s="44"/>
    </row>
    <row r="485" spans="1:30" s="45" customFormat="1" ht="31.5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67" t="s">
        <v>358</v>
      </c>
      <c r="S485" s="55" t="s">
        <v>50</v>
      </c>
      <c r="T485" s="3">
        <f>T500+T503</f>
        <v>0</v>
      </c>
      <c r="U485" s="3">
        <f t="shared" ref="U485:X485" si="116">U500+U503</f>
        <v>0</v>
      </c>
      <c r="V485" s="3">
        <f t="shared" si="116"/>
        <v>0</v>
      </c>
      <c r="W485" s="3">
        <f t="shared" si="116"/>
        <v>0</v>
      </c>
      <c r="X485" s="3">
        <f t="shared" si="116"/>
        <v>0</v>
      </c>
      <c r="Y485" s="3">
        <f>Y495+Y500</f>
        <v>2.8000000000000003</v>
      </c>
      <c r="Z485" s="3">
        <f>Z500+Z490+Z495+Z503</f>
        <v>4.8</v>
      </c>
      <c r="AA485" s="6">
        <f>SUM(T485:Z485)</f>
        <v>7.6</v>
      </c>
      <c r="AB485" s="37">
        <v>2024</v>
      </c>
      <c r="AC485" s="31"/>
      <c r="AD485" s="44"/>
    </row>
    <row r="486" spans="1:30" s="45" customFormat="1" ht="31.5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67" t="s">
        <v>357</v>
      </c>
      <c r="S486" s="55" t="s">
        <v>37</v>
      </c>
      <c r="T486" s="40">
        <f t="shared" ref="T486:X486" si="117">T501+T504</f>
        <v>0</v>
      </c>
      <c r="U486" s="40">
        <f t="shared" si="117"/>
        <v>0</v>
      </c>
      <c r="V486" s="40">
        <f t="shared" si="117"/>
        <v>0</v>
      </c>
      <c r="W486" s="40">
        <f t="shared" si="117"/>
        <v>0</v>
      </c>
      <c r="X486" s="40">
        <f t="shared" si="117"/>
        <v>0</v>
      </c>
      <c r="Y486" s="40">
        <f>Y496+Y501</f>
        <v>4</v>
      </c>
      <c r="Z486" s="40">
        <f>Z501+Z504+Z496+Z491</f>
        <v>6</v>
      </c>
      <c r="AA486" s="43">
        <f t="shared" ref="AA486" si="118">SUM(T486:Z486)</f>
        <v>10</v>
      </c>
      <c r="AB486" s="37">
        <v>2024</v>
      </c>
      <c r="AC486" s="31"/>
      <c r="AD486" s="44"/>
    </row>
    <row r="487" spans="1:30" s="141" customFormat="1" x14ac:dyDescent="0.25">
      <c r="A487" s="48" t="s">
        <v>18</v>
      </c>
      <c r="B487" s="48" t="s">
        <v>18</v>
      </c>
      <c r="C487" s="48" t="s">
        <v>24</v>
      </c>
      <c r="D487" s="48" t="s">
        <v>18</v>
      </c>
      <c r="E487" s="48" t="s">
        <v>18</v>
      </c>
      <c r="F487" s="48" t="s">
        <v>18</v>
      </c>
      <c r="G487" s="48" t="s">
        <v>18</v>
      </c>
      <c r="H487" s="48" t="s">
        <v>19</v>
      </c>
      <c r="I487" s="48" t="s">
        <v>24</v>
      </c>
      <c r="J487" s="48" t="s">
        <v>18</v>
      </c>
      <c r="K487" s="48" t="s">
        <v>19</v>
      </c>
      <c r="L487" s="48" t="s">
        <v>319</v>
      </c>
      <c r="M487" s="48" t="s">
        <v>18</v>
      </c>
      <c r="N487" s="48" t="s">
        <v>18</v>
      </c>
      <c r="O487" s="48" t="s">
        <v>18</v>
      </c>
      <c r="P487" s="48" t="s">
        <v>18</v>
      </c>
      <c r="Q487" s="48" t="s">
        <v>18</v>
      </c>
      <c r="R487" s="160" t="s">
        <v>300</v>
      </c>
      <c r="S487" s="164" t="s">
        <v>0</v>
      </c>
      <c r="T487" s="1">
        <f>T488+T489</f>
        <v>0</v>
      </c>
      <c r="U487" s="1">
        <f t="shared" ref="U487:Z487" si="119">U488+U489</f>
        <v>0</v>
      </c>
      <c r="V487" s="1">
        <f t="shared" si="119"/>
        <v>0</v>
      </c>
      <c r="W487" s="1">
        <f t="shared" si="119"/>
        <v>0</v>
      </c>
      <c r="X487" s="1">
        <f t="shared" si="119"/>
        <v>0</v>
      </c>
      <c r="Y487" s="1">
        <v>0</v>
      </c>
      <c r="Z487" s="1">
        <f t="shared" si="119"/>
        <v>5126.0999999999995</v>
      </c>
      <c r="AA487" s="53">
        <f>SUM(T487:Z487)</f>
        <v>5126.0999999999995</v>
      </c>
      <c r="AB487" s="52">
        <v>2024</v>
      </c>
      <c r="AC487" s="117"/>
      <c r="AD487" s="140"/>
    </row>
    <row r="488" spans="1:30" s="141" customFormat="1" x14ac:dyDescent="0.25">
      <c r="A488" s="48" t="s">
        <v>18</v>
      </c>
      <c r="B488" s="48" t="s">
        <v>18</v>
      </c>
      <c r="C488" s="48" t="s">
        <v>24</v>
      </c>
      <c r="D488" s="48" t="s">
        <v>18</v>
      </c>
      <c r="E488" s="48" t="s">
        <v>18</v>
      </c>
      <c r="F488" s="48" t="s">
        <v>18</v>
      </c>
      <c r="G488" s="48" t="s">
        <v>18</v>
      </c>
      <c r="H488" s="48" t="s">
        <v>19</v>
      </c>
      <c r="I488" s="48" t="s">
        <v>24</v>
      </c>
      <c r="J488" s="48" t="s">
        <v>18</v>
      </c>
      <c r="K488" s="48" t="s">
        <v>19</v>
      </c>
      <c r="L488" s="48" t="s">
        <v>319</v>
      </c>
      <c r="M488" s="48" t="s">
        <v>19</v>
      </c>
      <c r="N488" s="48" t="s">
        <v>23</v>
      </c>
      <c r="O488" s="48" t="s">
        <v>18</v>
      </c>
      <c r="P488" s="48" t="s">
        <v>18</v>
      </c>
      <c r="Q488" s="48" t="s">
        <v>18</v>
      </c>
      <c r="R488" s="161"/>
      <c r="S488" s="165"/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>
        <v>4562.2</v>
      </c>
      <c r="AA488" s="53">
        <f t="shared" ref="AA488:AA491" si="120">SUM(T488:Z488)</f>
        <v>4562.2</v>
      </c>
      <c r="AB488" s="52">
        <v>2024</v>
      </c>
      <c r="AC488" s="117"/>
      <c r="AD488" s="140"/>
    </row>
    <row r="489" spans="1:30" s="141" customFormat="1" x14ac:dyDescent="0.25">
      <c r="A489" s="48" t="s">
        <v>18</v>
      </c>
      <c r="B489" s="48" t="s">
        <v>18</v>
      </c>
      <c r="C489" s="48" t="s">
        <v>24</v>
      </c>
      <c r="D489" s="48" t="s">
        <v>18</v>
      </c>
      <c r="E489" s="48" t="s">
        <v>18</v>
      </c>
      <c r="F489" s="48" t="s">
        <v>18</v>
      </c>
      <c r="G489" s="48" t="s">
        <v>18</v>
      </c>
      <c r="H489" s="48" t="s">
        <v>19</v>
      </c>
      <c r="I489" s="48" t="s">
        <v>24</v>
      </c>
      <c r="J489" s="48" t="s">
        <v>18</v>
      </c>
      <c r="K489" s="48" t="s">
        <v>19</v>
      </c>
      <c r="L489" s="48" t="s">
        <v>319</v>
      </c>
      <c r="M489" s="48" t="s">
        <v>19</v>
      </c>
      <c r="N489" s="48" t="s">
        <v>23</v>
      </c>
      <c r="O489" s="48" t="s">
        <v>44</v>
      </c>
      <c r="P489" s="48" t="s">
        <v>18</v>
      </c>
      <c r="Q489" s="48" t="s">
        <v>18</v>
      </c>
      <c r="R489" s="162"/>
      <c r="S489" s="166"/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563.9</v>
      </c>
      <c r="AA489" s="53">
        <f t="shared" si="120"/>
        <v>563.9</v>
      </c>
      <c r="AB489" s="52">
        <v>2024</v>
      </c>
      <c r="AC489" s="117"/>
      <c r="AD489" s="140"/>
    </row>
    <row r="490" spans="1:30" s="45" customFormat="1" ht="32.2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67" t="s">
        <v>374</v>
      </c>
      <c r="S490" s="55" t="s">
        <v>50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1.4</v>
      </c>
      <c r="AA490" s="6">
        <f t="shared" si="120"/>
        <v>1.4</v>
      </c>
      <c r="AB490" s="37">
        <v>2024</v>
      </c>
      <c r="AC490" s="31"/>
      <c r="AD490" s="44"/>
    </row>
    <row r="491" spans="1:30" s="45" customFormat="1" ht="31.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67" t="s">
        <v>375</v>
      </c>
      <c r="S491" s="55" t="s">
        <v>37</v>
      </c>
      <c r="T491" s="40">
        <v>0</v>
      </c>
      <c r="U491" s="40">
        <v>0</v>
      </c>
      <c r="V491" s="40">
        <v>0</v>
      </c>
      <c r="W491" s="40">
        <v>0</v>
      </c>
      <c r="X491" s="40">
        <v>0</v>
      </c>
      <c r="Y491" s="40">
        <v>0</v>
      </c>
      <c r="Z491" s="40">
        <v>1</v>
      </c>
      <c r="AA491" s="43">
        <f t="shared" si="120"/>
        <v>1</v>
      </c>
      <c r="AB491" s="37">
        <v>2024</v>
      </c>
      <c r="AC491" s="31"/>
      <c r="AD491" s="44"/>
    </row>
    <row r="492" spans="1:30" s="141" customFormat="1" x14ac:dyDescent="0.25">
      <c r="A492" s="48" t="s">
        <v>18</v>
      </c>
      <c r="B492" s="48" t="s">
        <v>18</v>
      </c>
      <c r="C492" s="48" t="s">
        <v>21</v>
      </c>
      <c r="D492" s="48" t="s">
        <v>18</v>
      </c>
      <c r="E492" s="48" t="s">
        <v>18</v>
      </c>
      <c r="F492" s="48" t="s">
        <v>18</v>
      </c>
      <c r="G492" s="48" t="s">
        <v>18</v>
      </c>
      <c r="H492" s="48" t="s">
        <v>19</v>
      </c>
      <c r="I492" s="48" t="s">
        <v>24</v>
      </c>
      <c r="J492" s="48" t="s">
        <v>18</v>
      </c>
      <c r="K492" s="48" t="s">
        <v>19</v>
      </c>
      <c r="L492" s="48" t="s">
        <v>319</v>
      </c>
      <c r="M492" s="48" t="s">
        <v>18</v>
      </c>
      <c r="N492" s="48" t="s">
        <v>18</v>
      </c>
      <c r="O492" s="48" t="s">
        <v>18</v>
      </c>
      <c r="P492" s="48" t="s">
        <v>18</v>
      </c>
      <c r="Q492" s="48" t="s">
        <v>18</v>
      </c>
      <c r="R492" s="160" t="s">
        <v>300</v>
      </c>
      <c r="S492" s="164" t="s">
        <v>0</v>
      </c>
      <c r="T492" s="1">
        <f>T493+T494</f>
        <v>0</v>
      </c>
      <c r="U492" s="1">
        <f t="shared" ref="U492:Z492" si="121">U493+U494</f>
        <v>0</v>
      </c>
      <c r="V492" s="1">
        <f t="shared" si="121"/>
        <v>0</v>
      </c>
      <c r="W492" s="1">
        <f t="shared" si="121"/>
        <v>0</v>
      </c>
      <c r="X492" s="1">
        <f t="shared" si="121"/>
        <v>0</v>
      </c>
      <c r="Y492" s="1">
        <f t="shared" si="121"/>
        <v>6411</v>
      </c>
      <c r="Z492" s="1">
        <f t="shared" si="121"/>
        <v>9841.1999999999989</v>
      </c>
      <c r="AA492" s="53">
        <f>SUM(T492:Z492)</f>
        <v>16252.199999999999</v>
      </c>
      <c r="AB492" s="52">
        <v>2024</v>
      </c>
      <c r="AC492" s="117"/>
      <c r="AD492" s="140"/>
    </row>
    <row r="493" spans="1:30" s="141" customFormat="1" x14ac:dyDescent="0.25">
      <c r="A493" s="48" t="s">
        <v>18</v>
      </c>
      <c r="B493" s="48" t="s">
        <v>18</v>
      </c>
      <c r="C493" s="48" t="s">
        <v>21</v>
      </c>
      <c r="D493" s="48" t="s">
        <v>18</v>
      </c>
      <c r="E493" s="48" t="s">
        <v>18</v>
      </c>
      <c r="F493" s="48" t="s">
        <v>18</v>
      </c>
      <c r="G493" s="48" t="s">
        <v>18</v>
      </c>
      <c r="H493" s="48" t="s">
        <v>19</v>
      </c>
      <c r="I493" s="48" t="s">
        <v>24</v>
      </c>
      <c r="J493" s="48" t="s">
        <v>18</v>
      </c>
      <c r="K493" s="48" t="s">
        <v>19</v>
      </c>
      <c r="L493" s="48" t="s">
        <v>319</v>
      </c>
      <c r="M493" s="48" t="s">
        <v>19</v>
      </c>
      <c r="N493" s="48" t="s">
        <v>23</v>
      </c>
      <c r="O493" s="48" t="s">
        <v>18</v>
      </c>
      <c r="P493" s="48" t="s">
        <v>18</v>
      </c>
      <c r="Q493" s="48" t="s">
        <v>18</v>
      </c>
      <c r="R493" s="161"/>
      <c r="S493" s="165"/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5769.2</v>
      </c>
      <c r="Z493" s="1">
        <v>8783.9</v>
      </c>
      <c r="AA493" s="53">
        <f t="shared" ref="AA493:AA496" si="122">SUM(T493:Z493)</f>
        <v>14553.099999999999</v>
      </c>
      <c r="AB493" s="52">
        <v>2024</v>
      </c>
      <c r="AC493" s="117"/>
      <c r="AD493" s="140"/>
    </row>
    <row r="494" spans="1:30" s="141" customFormat="1" x14ac:dyDescent="0.25">
      <c r="A494" s="48" t="s">
        <v>18</v>
      </c>
      <c r="B494" s="48" t="s">
        <v>18</v>
      </c>
      <c r="C494" s="48" t="s">
        <v>21</v>
      </c>
      <c r="D494" s="48" t="s">
        <v>18</v>
      </c>
      <c r="E494" s="48" t="s">
        <v>18</v>
      </c>
      <c r="F494" s="48" t="s">
        <v>18</v>
      </c>
      <c r="G494" s="48" t="s">
        <v>18</v>
      </c>
      <c r="H494" s="48" t="s">
        <v>19</v>
      </c>
      <c r="I494" s="48" t="s">
        <v>24</v>
      </c>
      <c r="J494" s="48" t="s">
        <v>18</v>
      </c>
      <c r="K494" s="48" t="s">
        <v>19</v>
      </c>
      <c r="L494" s="48" t="s">
        <v>319</v>
      </c>
      <c r="M494" s="48" t="s">
        <v>19</v>
      </c>
      <c r="N494" s="48" t="s">
        <v>23</v>
      </c>
      <c r="O494" s="48" t="s">
        <v>44</v>
      </c>
      <c r="P494" s="48" t="s">
        <v>18</v>
      </c>
      <c r="Q494" s="48" t="s">
        <v>18</v>
      </c>
      <c r="R494" s="162"/>
      <c r="S494" s="166"/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641.79999999999995</v>
      </c>
      <c r="Z494" s="1">
        <v>1057.3</v>
      </c>
      <c r="AA494" s="53">
        <f t="shared" si="122"/>
        <v>1699.1</v>
      </c>
      <c r="AB494" s="52">
        <v>2024</v>
      </c>
      <c r="AC494" s="117"/>
      <c r="AD494" s="140"/>
    </row>
    <row r="495" spans="1:30" s="45" customFormat="1" ht="32.2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67" t="s">
        <v>366</v>
      </c>
      <c r="S495" s="55" t="s">
        <v>50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0.6</v>
      </c>
      <c r="Z495" s="3">
        <v>1.5</v>
      </c>
      <c r="AA495" s="6">
        <f t="shared" si="122"/>
        <v>2.1</v>
      </c>
      <c r="AB495" s="37">
        <v>2024</v>
      </c>
      <c r="AC495" s="31"/>
      <c r="AD495" s="44"/>
    </row>
    <row r="496" spans="1:30" s="45" customFormat="1" ht="32.2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67" t="s">
        <v>367</v>
      </c>
      <c r="S496" s="55" t="s">
        <v>37</v>
      </c>
      <c r="T496" s="40">
        <v>0</v>
      </c>
      <c r="U496" s="40">
        <v>0</v>
      </c>
      <c r="V496" s="40">
        <v>0</v>
      </c>
      <c r="W496" s="40">
        <v>0</v>
      </c>
      <c r="X496" s="40">
        <v>0</v>
      </c>
      <c r="Y496" s="40">
        <v>3</v>
      </c>
      <c r="Z496" s="40">
        <v>3</v>
      </c>
      <c r="AA496" s="43">
        <f t="shared" si="122"/>
        <v>6</v>
      </c>
      <c r="AB496" s="37">
        <v>2024</v>
      </c>
      <c r="AC496" s="31"/>
      <c r="AD496" s="44"/>
    </row>
    <row r="497" spans="1:31" s="141" customFormat="1" x14ac:dyDescent="0.25">
      <c r="A497" s="48" t="s">
        <v>18</v>
      </c>
      <c r="B497" s="48" t="s">
        <v>18</v>
      </c>
      <c r="C497" s="48" t="s">
        <v>25</v>
      </c>
      <c r="D497" s="48" t="s">
        <v>18</v>
      </c>
      <c r="E497" s="48" t="s">
        <v>24</v>
      </c>
      <c r="F497" s="48" t="s">
        <v>18</v>
      </c>
      <c r="G497" s="48" t="s">
        <v>42</v>
      </c>
      <c r="H497" s="48" t="s">
        <v>19</v>
      </c>
      <c r="I497" s="48" t="s">
        <v>24</v>
      </c>
      <c r="J497" s="48" t="s">
        <v>18</v>
      </c>
      <c r="K497" s="48" t="s">
        <v>19</v>
      </c>
      <c r="L497" s="48" t="s">
        <v>319</v>
      </c>
      <c r="M497" s="48" t="s">
        <v>18</v>
      </c>
      <c r="N497" s="48" t="s">
        <v>18</v>
      </c>
      <c r="O497" s="48" t="s">
        <v>18</v>
      </c>
      <c r="P497" s="48" t="s">
        <v>18</v>
      </c>
      <c r="Q497" s="48" t="s">
        <v>18</v>
      </c>
      <c r="R497" s="160" t="s">
        <v>300</v>
      </c>
      <c r="S497" s="164" t="s">
        <v>0</v>
      </c>
      <c r="T497" s="1">
        <f>T498+T499</f>
        <v>0</v>
      </c>
      <c r="U497" s="1">
        <f t="shared" ref="U497:Z497" si="123">U498+U499</f>
        <v>0</v>
      </c>
      <c r="V497" s="1">
        <f t="shared" si="123"/>
        <v>0</v>
      </c>
      <c r="W497" s="1">
        <f t="shared" si="123"/>
        <v>0</v>
      </c>
      <c r="X497" s="1">
        <f t="shared" si="123"/>
        <v>0</v>
      </c>
      <c r="Y497" s="1">
        <f t="shared" si="123"/>
        <v>3920.6</v>
      </c>
      <c r="Z497" s="1">
        <f t="shared" si="123"/>
        <v>3039</v>
      </c>
      <c r="AA497" s="53">
        <f>SUM(T497:Z497)</f>
        <v>6959.6</v>
      </c>
      <c r="AB497" s="52">
        <v>2024</v>
      </c>
      <c r="AC497" s="117"/>
      <c r="AD497" s="140"/>
    </row>
    <row r="498" spans="1:31" s="141" customFormat="1" x14ac:dyDescent="0.25">
      <c r="A498" s="48" t="s">
        <v>18</v>
      </c>
      <c r="B498" s="48" t="s">
        <v>18</v>
      </c>
      <c r="C498" s="48" t="s">
        <v>25</v>
      </c>
      <c r="D498" s="48" t="s">
        <v>18</v>
      </c>
      <c r="E498" s="48" t="s">
        <v>24</v>
      </c>
      <c r="F498" s="48" t="s">
        <v>18</v>
      </c>
      <c r="G498" s="48" t="s">
        <v>42</v>
      </c>
      <c r="H498" s="48" t="s">
        <v>19</v>
      </c>
      <c r="I498" s="48" t="s">
        <v>24</v>
      </c>
      <c r="J498" s="48" t="s">
        <v>18</v>
      </c>
      <c r="K498" s="48" t="s">
        <v>19</v>
      </c>
      <c r="L498" s="48" t="s">
        <v>319</v>
      </c>
      <c r="M498" s="48" t="s">
        <v>19</v>
      </c>
      <c r="N498" s="48" t="s">
        <v>23</v>
      </c>
      <c r="O498" s="48" t="s">
        <v>18</v>
      </c>
      <c r="P498" s="48" t="s">
        <v>18</v>
      </c>
      <c r="Q498" s="48" t="s">
        <v>18</v>
      </c>
      <c r="R498" s="161"/>
      <c r="S498" s="165"/>
      <c r="T498" s="1">
        <v>0</v>
      </c>
      <c r="U498" s="1">
        <v>0</v>
      </c>
      <c r="V498" s="1">
        <v>0</v>
      </c>
      <c r="W498" s="1">
        <v>0</v>
      </c>
      <c r="X498" s="1">
        <v>0</v>
      </c>
      <c r="Y498" s="1">
        <v>3292.5</v>
      </c>
      <c r="Z498" s="1">
        <v>2534</v>
      </c>
      <c r="AA498" s="53">
        <f t="shared" ref="AA498:AA501" si="124">SUM(T498:Z498)</f>
        <v>5826.5</v>
      </c>
      <c r="AB498" s="52">
        <v>2024</v>
      </c>
      <c r="AC498" s="117"/>
      <c r="AD498" s="140"/>
    </row>
    <row r="499" spans="1:31" s="141" customFormat="1" x14ac:dyDescent="0.25">
      <c r="A499" s="48" t="s">
        <v>18</v>
      </c>
      <c r="B499" s="48" t="s">
        <v>18</v>
      </c>
      <c r="C499" s="48" t="s">
        <v>25</v>
      </c>
      <c r="D499" s="48" t="s">
        <v>18</v>
      </c>
      <c r="E499" s="48" t="s">
        <v>24</v>
      </c>
      <c r="F499" s="48" t="s">
        <v>18</v>
      </c>
      <c r="G499" s="48" t="s">
        <v>42</v>
      </c>
      <c r="H499" s="48" t="s">
        <v>19</v>
      </c>
      <c r="I499" s="48" t="s">
        <v>24</v>
      </c>
      <c r="J499" s="48" t="s">
        <v>18</v>
      </c>
      <c r="K499" s="48" t="s">
        <v>19</v>
      </c>
      <c r="L499" s="48" t="s">
        <v>319</v>
      </c>
      <c r="M499" s="48" t="s">
        <v>19</v>
      </c>
      <c r="N499" s="48" t="s">
        <v>23</v>
      </c>
      <c r="O499" s="48" t="s">
        <v>44</v>
      </c>
      <c r="P499" s="48" t="s">
        <v>18</v>
      </c>
      <c r="Q499" s="48" t="s">
        <v>18</v>
      </c>
      <c r="R499" s="162"/>
      <c r="S499" s="166"/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628.1</v>
      </c>
      <c r="Z499" s="1">
        <v>505</v>
      </c>
      <c r="AA499" s="53">
        <f t="shared" si="124"/>
        <v>1133.0999999999999</v>
      </c>
      <c r="AB499" s="52">
        <v>2024</v>
      </c>
      <c r="AC499" s="117"/>
      <c r="AD499" s="140"/>
    </row>
    <row r="500" spans="1:31" s="45" customFormat="1" ht="32.2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67" t="s">
        <v>368</v>
      </c>
      <c r="S500" s="55" t="s">
        <v>50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2.2000000000000002</v>
      </c>
      <c r="Z500" s="3">
        <v>0.9</v>
      </c>
      <c r="AA500" s="6">
        <f t="shared" si="124"/>
        <v>3.1</v>
      </c>
      <c r="AB500" s="37">
        <v>2024</v>
      </c>
      <c r="AC500" s="31"/>
      <c r="AD500" s="44"/>
    </row>
    <row r="501" spans="1:31" s="45" customFormat="1" ht="32.2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67" t="s">
        <v>369</v>
      </c>
      <c r="S501" s="55" t="s">
        <v>37</v>
      </c>
      <c r="T501" s="40">
        <v>0</v>
      </c>
      <c r="U501" s="40">
        <v>0</v>
      </c>
      <c r="V501" s="40">
        <v>0</v>
      </c>
      <c r="W501" s="40">
        <v>0</v>
      </c>
      <c r="X501" s="40">
        <v>0</v>
      </c>
      <c r="Y501" s="40">
        <v>1</v>
      </c>
      <c r="Z501" s="40">
        <v>1</v>
      </c>
      <c r="AA501" s="43">
        <f t="shared" si="124"/>
        <v>2</v>
      </c>
      <c r="AB501" s="37">
        <v>2024</v>
      </c>
      <c r="AC501" s="31"/>
      <c r="AD501" s="44"/>
    </row>
    <row r="502" spans="1:31" s="45" customFormat="1" ht="31.5" x14ac:dyDescent="0.25">
      <c r="A502" s="48" t="s">
        <v>18</v>
      </c>
      <c r="B502" s="48" t="s">
        <v>18</v>
      </c>
      <c r="C502" s="48" t="s">
        <v>42</v>
      </c>
      <c r="D502" s="48" t="s">
        <v>18</v>
      </c>
      <c r="E502" s="48" t="s">
        <v>21</v>
      </c>
      <c r="F502" s="48" t="s">
        <v>18</v>
      </c>
      <c r="G502" s="48" t="s">
        <v>22</v>
      </c>
      <c r="H502" s="48" t="s">
        <v>19</v>
      </c>
      <c r="I502" s="48" t="s">
        <v>24</v>
      </c>
      <c r="J502" s="48" t="s">
        <v>18</v>
      </c>
      <c r="K502" s="48" t="s">
        <v>19</v>
      </c>
      <c r="L502" s="48" t="s">
        <v>319</v>
      </c>
      <c r="M502" s="48" t="s">
        <v>42</v>
      </c>
      <c r="N502" s="48" t="s">
        <v>42</v>
      </c>
      <c r="O502" s="48" t="s">
        <v>42</v>
      </c>
      <c r="P502" s="48" t="s">
        <v>18</v>
      </c>
      <c r="Q502" s="48" t="s">
        <v>18</v>
      </c>
      <c r="R502" s="66" t="s">
        <v>300</v>
      </c>
      <c r="S502" s="49" t="s">
        <v>0</v>
      </c>
      <c r="T502" s="1">
        <f>10000-9745-255</f>
        <v>0</v>
      </c>
      <c r="U502" s="1">
        <f>226.8-200-26.8</f>
        <v>0</v>
      </c>
      <c r="V502" s="1">
        <f>8228.3-8228.3</f>
        <v>0</v>
      </c>
      <c r="W502" s="1">
        <f>5000-3206.5-1793.5</f>
        <v>0</v>
      </c>
      <c r="X502" s="1">
        <f>5000+11000-11034.6-4965.4</f>
        <v>0</v>
      </c>
      <c r="Y502" s="1">
        <v>0</v>
      </c>
      <c r="Z502" s="1">
        <f>12000-11995</f>
        <v>5</v>
      </c>
      <c r="AA502" s="53">
        <f>SUM(T502:Z502)</f>
        <v>5</v>
      </c>
      <c r="AB502" s="52">
        <v>2024</v>
      </c>
      <c r="AC502" s="31"/>
      <c r="AD502" s="44"/>
    </row>
    <row r="503" spans="1:31" s="45" customFormat="1" ht="32.2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67" t="s">
        <v>370</v>
      </c>
      <c r="S503" s="55" t="s">
        <v>50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1</v>
      </c>
      <c r="AA503" s="6">
        <f t="shared" ref="AA503:AA504" si="125">SUM(T503:Z503)</f>
        <v>1</v>
      </c>
      <c r="AB503" s="37">
        <v>2024</v>
      </c>
      <c r="AC503" s="31"/>
      <c r="AD503" s="44"/>
    </row>
    <row r="504" spans="1:31" s="45" customFormat="1" ht="31.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67" t="s">
        <v>371</v>
      </c>
      <c r="S504" s="55" t="s">
        <v>37</v>
      </c>
      <c r="T504" s="40">
        <v>0</v>
      </c>
      <c r="U504" s="40">
        <v>0</v>
      </c>
      <c r="V504" s="40">
        <v>0</v>
      </c>
      <c r="W504" s="40">
        <v>0</v>
      </c>
      <c r="X504" s="40">
        <v>0</v>
      </c>
      <c r="Y504" s="40">
        <v>0</v>
      </c>
      <c r="Z504" s="40">
        <v>1</v>
      </c>
      <c r="AA504" s="43">
        <f t="shared" si="125"/>
        <v>1</v>
      </c>
      <c r="AB504" s="37">
        <v>2024</v>
      </c>
      <c r="AC504" s="31"/>
      <c r="AD504" s="44"/>
    </row>
    <row r="505" spans="1:31" ht="78.75" x14ac:dyDescent="0.25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146" t="s">
        <v>325</v>
      </c>
      <c r="S505" s="49" t="s">
        <v>40</v>
      </c>
      <c r="T505" s="50">
        <v>0</v>
      </c>
      <c r="U505" s="50">
        <v>0</v>
      </c>
      <c r="V505" s="50">
        <v>0</v>
      </c>
      <c r="W505" s="50">
        <v>1</v>
      </c>
      <c r="X505" s="50">
        <v>1</v>
      </c>
      <c r="Y505" s="50">
        <v>0</v>
      </c>
      <c r="Z505" s="50">
        <v>0</v>
      </c>
      <c r="AA505" s="51">
        <v>1</v>
      </c>
      <c r="AB505" s="52">
        <v>2022</v>
      </c>
      <c r="AD505" s="91"/>
      <c r="AE505" s="91"/>
    </row>
    <row r="506" spans="1:31" ht="78.75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67" t="s">
        <v>326</v>
      </c>
      <c r="S506" s="55" t="s">
        <v>37</v>
      </c>
      <c r="T506" s="40">
        <v>0</v>
      </c>
      <c r="U506" s="40">
        <v>0</v>
      </c>
      <c r="V506" s="40">
        <v>0</v>
      </c>
      <c r="W506" s="40">
        <v>4</v>
      </c>
      <c r="X506" s="40">
        <v>4</v>
      </c>
      <c r="Y506" s="40">
        <v>0</v>
      </c>
      <c r="Z506" s="40">
        <v>0</v>
      </c>
      <c r="AA506" s="43">
        <f>SUM(T506:Z506)</f>
        <v>8</v>
      </c>
      <c r="AB506" s="37">
        <v>2022</v>
      </c>
      <c r="AD506" s="91"/>
      <c r="AE506" s="91"/>
    </row>
    <row r="507" spans="1:31" ht="63" x14ac:dyDescent="0.25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146" t="s">
        <v>327</v>
      </c>
      <c r="S507" s="49" t="s">
        <v>40</v>
      </c>
      <c r="T507" s="50">
        <v>0</v>
      </c>
      <c r="U507" s="50">
        <v>0</v>
      </c>
      <c r="V507" s="50">
        <v>0</v>
      </c>
      <c r="W507" s="50">
        <v>1</v>
      </c>
      <c r="X507" s="50">
        <v>1</v>
      </c>
      <c r="Y507" s="50">
        <v>0</v>
      </c>
      <c r="Z507" s="50">
        <v>0</v>
      </c>
      <c r="AA507" s="51">
        <v>1</v>
      </c>
      <c r="AB507" s="52">
        <v>2022</v>
      </c>
      <c r="AD507" s="91"/>
      <c r="AE507" s="91"/>
    </row>
    <row r="508" spans="1:31" ht="63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67" t="s">
        <v>330</v>
      </c>
      <c r="S508" s="55" t="s">
        <v>37</v>
      </c>
      <c r="T508" s="40">
        <v>0</v>
      </c>
      <c r="U508" s="40">
        <v>0</v>
      </c>
      <c r="V508" s="40">
        <v>0</v>
      </c>
      <c r="W508" s="40">
        <v>12</v>
      </c>
      <c r="X508" s="40">
        <v>12</v>
      </c>
      <c r="Y508" s="40">
        <v>0</v>
      </c>
      <c r="Z508" s="40">
        <v>0</v>
      </c>
      <c r="AA508" s="43">
        <f>SUM(T508:Z508)</f>
        <v>24</v>
      </c>
      <c r="AB508" s="37">
        <v>2022</v>
      </c>
      <c r="AD508" s="91"/>
      <c r="AE508" s="91"/>
    </row>
    <row r="509" spans="1:31" ht="47.25" x14ac:dyDescent="0.25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146" t="s">
        <v>332</v>
      </c>
      <c r="S509" s="49" t="s">
        <v>40</v>
      </c>
      <c r="T509" s="50">
        <v>0</v>
      </c>
      <c r="U509" s="50">
        <v>0</v>
      </c>
      <c r="V509" s="50">
        <v>0</v>
      </c>
      <c r="W509" s="50">
        <v>1</v>
      </c>
      <c r="X509" s="50">
        <v>1</v>
      </c>
      <c r="Y509" s="50">
        <v>1</v>
      </c>
      <c r="Z509" s="50">
        <v>1</v>
      </c>
      <c r="AA509" s="51">
        <v>1</v>
      </c>
      <c r="AB509" s="52">
        <v>2024</v>
      </c>
      <c r="AD509" s="91"/>
      <c r="AE509" s="91"/>
    </row>
    <row r="510" spans="1:31" ht="47.25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67" t="s">
        <v>331</v>
      </c>
      <c r="S510" s="55" t="s">
        <v>50</v>
      </c>
      <c r="T510" s="40">
        <v>0</v>
      </c>
      <c r="U510" s="40">
        <v>0</v>
      </c>
      <c r="V510" s="40">
        <v>0</v>
      </c>
      <c r="W510" s="3">
        <v>20.5</v>
      </c>
      <c r="X510" s="3">
        <f>10+2.7+3.2</f>
        <v>15.899999999999999</v>
      </c>
      <c r="Y510" s="3">
        <v>6.4</v>
      </c>
      <c r="Z510" s="3">
        <v>5</v>
      </c>
      <c r="AA510" s="6">
        <f>SUM(W510:Z510)</f>
        <v>47.8</v>
      </c>
      <c r="AB510" s="37">
        <v>2024</v>
      </c>
      <c r="AD510" s="91"/>
      <c r="AE510" s="91"/>
    </row>
    <row r="511" spans="1:31" ht="47.25" x14ac:dyDescent="0.25">
      <c r="A511" s="42"/>
      <c r="B511" s="42"/>
      <c r="C511" s="42"/>
      <c r="D511" s="42"/>
      <c r="E511" s="42"/>
      <c r="F511" s="42"/>
      <c r="G511" s="42"/>
      <c r="H511" s="42" t="s">
        <v>19</v>
      </c>
      <c r="I511" s="42" t="s">
        <v>24</v>
      </c>
      <c r="J511" s="42" t="s">
        <v>18</v>
      </c>
      <c r="K511" s="42" t="s">
        <v>18</v>
      </c>
      <c r="L511" s="42" t="s">
        <v>22</v>
      </c>
      <c r="M511" s="42" t="s">
        <v>18</v>
      </c>
      <c r="N511" s="42" t="s">
        <v>18</v>
      </c>
      <c r="O511" s="42" t="s">
        <v>18</v>
      </c>
      <c r="P511" s="42" t="s">
        <v>18</v>
      </c>
      <c r="Q511" s="42" t="s">
        <v>18</v>
      </c>
      <c r="R511" s="87" t="s">
        <v>53</v>
      </c>
      <c r="S511" s="127" t="s">
        <v>0</v>
      </c>
      <c r="T511" s="126">
        <f>T515++T532+T535+T556</f>
        <v>7230.2999999999993</v>
      </c>
      <c r="U511" s="126">
        <f>U515++U532+U535+U556+U568+U566+U570+U530</f>
        <v>12898</v>
      </c>
      <c r="V511" s="126">
        <f>V515++V532+V535+V556</f>
        <v>3228.7</v>
      </c>
      <c r="W511" s="126">
        <f>W515++W532+W535+W556</f>
        <v>3490.5999999999995</v>
      </c>
      <c r="X511" s="126">
        <f>X515++X532+X535+X556</f>
        <v>3519.6</v>
      </c>
      <c r="Y511" s="126">
        <f>Y515++Y532+Y535+Y556</f>
        <v>3548.9</v>
      </c>
      <c r="Z511" s="126">
        <f>Z515++Z532+Z535+Z556</f>
        <v>3953.6</v>
      </c>
      <c r="AA511" s="126">
        <f t="shared" si="108"/>
        <v>37869.699999999997</v>
      </c>
      <c r="AB511" s="127">
        <v>2024</v>
      </c>
      <c r="AC511" s="107"/>
    </row>
    <row r="512" spans="1:31" ht="31.5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138" t="s">
        <v>130</v>
      </c>
      <c r="S512" s="148" t="s">
        <v>31</v>
      </c>
      <c r="T512" s="4">
        <f t="shared" ref="T512:Y512" si="126">T516</f>
        <v>10473.4</v>
      </c>
      <c r="U512" s="4">
        <f t="shared" si="126"/>
        <v>4682.5</v>
      </c>
      <c r="V512" s="4">
        <f t="shared" si="126"/>
        <v>4156.2</v>
      </c>
      <c r="W512" s="4">
        <f t="shared" si="126"/>
        <v>5575.6</v>
      </c>
      <c r="X512" s="4">
        <f t="shared" si="126"/>
        <v>5222</v>
      </c>
      <c r="Y512" s="4">
        <f t="shared" si="126"/>
        <v>4513.7</v>
      </c>
      <c r="Z512" s="4">
        <f t="shared" ref="Z512" si="127">Z516</f>
        <v>4626</v>
      </c>
      <c r="AA512" s="5">
        <f t="shared" si="108"/>
        <v>39249.399999999994</v>
      </c>
      <c r="AB512" s="148">
        <v>2024</v>
      </c>
      <c r="AC512" s="31"/>
    </row>
    <row r="513" spans="1:31" ht="31.5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138" t="s">
        <v>131</v>
      </c>
      <c r="S513" s="148" t="s">
        <v>48</v>
      </c>
      <c r="T513" s="40">
        <f t="shared" ref="T513:Y513" si="128">T536</f>
        <v>450</v>
      </c>
      <c r="U513" s="40">
        <f t="shared" si="128"/>
        <v>450</v>
      </c>
      <c r="V513" s="40">
        <f t="shared" si="128"/>
        <v>0</v>
      </c>
      <c r="W513" s="40">
        <f t="shared" si="128"/>
        <v>0</v>
      </c>
      <c r="X513" s="40">
        <f t="shared" si="128"/>
        <v>0</v>
      </c>
      <c r="Y513" s="40">
        <f t="shared" si="128"/>
        <v>0</v>
      </c>
      <c r="Z513" s="40">
        <f t="shared" ref="Z513" si="129">Z536</f>
        <v>0</v>
      </c>
      <c r="AA513" s="41">
        <f t="shared" ref="AA513:AA514" si="130">SUM(T513:Z513)</f>
        <v>900</v>
      </c>
      <c r="AB513" s="148">
        <v>2019</v>
      </c>
      <c r="AC513" s="31"/>
    </row>
    <row r="514" spans="1:31" ht="47.25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138" t="s">
        <v>132</v>
      </c>
      <c r="S514" s="37" t="s">
        <v>37</v>
      </c>
      <c r="T514" s="40">
        <f t="shared" ref="T514:V514" si="131">T557</f>
        <v>27</v>
      </c>
      <c r="U514" s="40">
        <f t="shared" si="131"/>
        <v>4</v>
      </c>
      <c r="V514" s="40">
        <f t="shared" si="131"/>
        <v>16</v>
      </c>
      <c r="W514" s="40">
        <f>W517</f>
        <v>2</v>
      </c>
      <c r="X514" s="40">
        <f t="shared" ref="X514:Z514" si="132">X517</f>
        <v>0</v>
      </c>
      <c r="Y514" s="40">
        <f t="shared" si="132"/>
        <v>1</v>
      </c>
      <c r="Z514" s="40">
        <f t="shared" si="132"/>
        <v>11</v>
      </c>
      <c r="AA514" s="41">
        <f t="shared" si="130"/>
        <v>61</v>
      </c>
      <c r="AB514" s="37">
        <v>2024</v>
      </c>
      <c r="AC514" s="31"/>
    </row>
    <row r="515" spans="1:31" ht="31.5" x14ac:dyDescent="0.25">
      <c r="A515" s="48"/>
      <c r="B515" s="48"/>
      <c r="C515" s="48"/>
      <c r="D515" s="48" t="s">
        <v>18</v>
      </c>
      <c r="E515" s="48" t="s">
        <v>21</v>
      </c>
      <c r="F515" s="48" t="s">
        <v>18</v>
      </c>
      <c r="G515" s="48" t="s">
        <v>22</v>
      </c>
      <c r="H515" s="48" t="s">
        <v>19</v>
      </c>
      <c r="I515" s="48" t="s">
        <v>24</v>
      </c>
      <c r="J515" s="48" t="s">
        <v>18</v>
      </c>
      <c r="K515" s="48" t="s">
        <v>18</v>
      </c>
      <c r="L515" s="48" t="s">
        <v>22</v>
      </c>
      <c r="M515" s="48" t="s">
        <v>42</v>
      </c>
      <c r="N515" s="48" t="s">
        <v>42</v>
      </c>
      <c r="O515" s="48" t="s">
        <v>42</v>
      </c>
      <c r="P515" s="48" t="s">
        <v>42</v>
      </c>
      <c r="Q515" s="48" t="s">
        <v>42</v>
      </c>
      <c r="R515" s="66" t="s">
        <v>133</v>
      </c>
      <c r="S515" s="52" t="s">
        <v>0</v>
      </c>
      <c r="T515" s="53">
        <f>T518+T524+T521+T527</f>
        <v>5760.9</v>
      </c>
      <c r="U515" s="53">
        <f t="shared" ref="U515:Y515" si="133">U518+U524+U521+U527</f>
        <v>5337.7</v>
      </c>
      <c r="V515" s="53">
        <f>V518+V524+V521+V527</f>
        <v>3171</v>
      </c>
      <c r="W515" s="53">
        <f t="shared" si="133"/>
        <v>3490.5999999999995</v>
      </c>
      <c r="X515" s="53">
        <f t="shared" si="133"/>
        <v>3519.6</v>
      </c>
      <c r="Y515" s="53">
        <f t="shared" si="133"/>
        <v>3548.9</v>
      </c>
      <c r="Z515" s="53">
        <f t="shared" ref="Z515" si="134">Z518+Z524+Z521+Z527</f>
        <v>3953.6</v>
      </c>
      <c r="AA515" s="53">
        <f t="shared" ref="AA515:AA533" si="135">SUM(T515:Z515)</f>
        <v>28782.299999999996</v>
      </c>
      <c r="AB515" s="52">
        <v>2024</v>
      </c>
      <c r="AC515" s="107"/>
    </row>
    <row r="516" spans="1:31" ht="31.5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80" t="s">
        <v>130</v>
      </c>
      <c r="S516" s="148" t="s">
        <v>31</v>
      </c>
      <c r="T516" s="3">
        <f>T519+T522+T525+T528</f>
        <v>10473.4</v>
      </c>
      <c r="U516" s="3">
        <f t="shared" ref="U516:Y516" si="136">U519+U522+U525+U528</f>
        <v>4682.5</v>
      </c>
      <c r="V516" s="3">
        <f t="shared" si="136"/>
        <v>4156.2</v>
      </c>
      <c r="W516" s="3">
        <f t="shared" si="136"/>
        <v>5575.6</v>
      </c>
      <c r="X516" s="3">
        <f>X519+X522+X525+X528</f>
        <v>5222</v>
      </c>
      <c r="Y516" s="3">
        <f t="shared" si="136"/>
        <v>4513.7</v>
      </c>
      <c r="Z516" s="3">
        <f t="shared" ref="Z516:Z517" si="137">Z519+Z522+Z525+Z528</f>
        <v>4626</v>
      </c>
      <c r="AA516" s="5">
        <f t="shared" si="135"/>
        <v>39249.399999999994</v>
      </c>
      <c r="AB516" s="37">
        <v>2024</v>
      </c>
      <c r="AC516" s="110"/>
      <c r="AD516" s="89"/>
    </row>
    <row r="517" spans="1:31" ht="47.25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80" t="s">
        <v>303</v>
      </c>
      <c r="S517" s="148" t="s">
        <v>37</v>
      </c>
      <c r="T517" s="40">
        <f>T520+T523+T526+T529</f>
        <v>0</v>
      </c>
      <c r="U517" s="40">
        <f t="shared" ref="U517:Y517" si="138">U520+U523+U526+U529</f>
        <v>0</v>
      </c>
      <c r="V517" s="40">
        <f t="shared" si="138"/>
        <v>0</v>
      </c>
      <c r="W517" s="40">
        <f t="shared" si="138"/>
        <v>2</v>
      </c>
      <c r="X517" s="40">
        <f t="shared" si="138"/>
        <v>0</v>
      </c>
      <c r="Y517" s="40">
        <f t="shared" si="138"/>
        <v>1</v>
      </c>
      <c r="Z517" s="40">
        <f t="shared" si="137"/>
        <v>11</v>
      </c>
      <c r="AA517" s="41">
        <f t="shared" si="135"/>
        <v>14</v>
      </c>
      <c r="AB517" s="37">
        <v>2024</v>
      </c>
      <c r="AC517" s="110"/>
      <c r="AD517" s="89"/>
    </row>
    <row r="518" spans="1:31" ht="31.5" x14ac:dyDescent="0.25">
      <c r="A518" s="48" t="s">
        <v>18</v>
      </c>
      <c r="B518" s="48" t="s">
        <v>18</v>
      </c>
      <c r="C518" s="48" t="s">
        <v>22</v>
      </c>
      <c r="D518" s="48" t="s">
        <v>18</v>
      </c>
      <c r="E518" s="48" t="s">
        <v>21</v>
      </c>
      <c r="F518" s="48" t="s">
        <v>18</v>
      </c>
      <c r="G518" s="48" t="s">
        <v>22</v>
      </c>
      <c r="H518" s="48" t="s">
        <v>19</v>
      </c>
      <c r="I518" s="48" t="s">
        <v>24</v>
      </c>
      <c r="J518" s="48" t="s">
        <v>18</v>
      </c>
      <c r="K518" s="48" t="s">
        <v>18</v>
      </c>
      <c r="L518" s="48" t="s">
        <v>22</v>
      </c>
      <c r="M518" s="48" t="s">
        <v>42</v>
      </c>
      <c r="N518" s="48" t="s">
        <v>42</v>
      </c>
      <c r="O518" s="48" t="s">
        <v>42</v>
      </c>
      <c r="P518" s="48" t="s">
        <v>42</v>
      </c>
      <c r="Q518" s="48" t="s">
        <v>42</v>
      </c>
      <c r="R518" s="66" t="s">
        <v>134</v>
      </c>
      <c r="S518" s="49" t="s">
        <v>0</v>
      </c>
      <c r="T518" s="1">
        <f>3617.1-376.2-40-150</f>
        <v>3050.9</v>
      </c>
      <c r="U518" s="1">
        <f>2917.1-100</f>
        <v>2817.1</v>
      </c>
      <c r="V518" s="1">
        <v>1090.5999999999999</v>
      </c>
      <c r="W518" s="1">
        <f>2417.1-692.3-89.8</f>
        <v>1635</v>
      </c>
      <c r="X518" s="1">
        <f>2417.1-467.5-290.9</f>
        <v>1658.6999999999998</v>
      </c>
      <c r="Y518" s="1">
        <f>2417.1-117-540.9</f>
        <v>1759.1999999999998</v>
      </c>
      <c r="Z518" s="1">
        <v>2017.1</v>
      </c>
      <c r="AA518" s="53">
        <f t="shared" si="135"/>
        <v>14028.6</v>
      </c>
      <c r="AB518" s="52">
        <v>2024</v>
      </c>
      <c r="AC518" s="106"/>
      <c r="AD518" s="89"/>
      <c r="AE518" s="89"/>
    </row>
    <row r="519" spans="1:31" ht="31.5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69" t="s">
        <v>304</v>
      </c>
      <c r="S519" s="148" t="s">
        <v>31</v>
      </c>
      <c r="T519" s="3">
        <v>4849</v>
      </c>
      <c r="U519" s="3">
        <f>4307-1114</f>
        <v>3193</v>
      </c>
      <c r="V519" s="3">
        <v>1569</v>
      </c>
      <c r="W519" s="3">
        <v>2700</v>
      </c>
      <c r="X519" s="3">
        <v>2653</v>
      </c>
      <c r="Y519" s="3">
        <v>2677.7</v>
      </c>
      <c r="Z519" s="3">
        <v>2605</v>
      </c>
      <c r="AA519" s="5">
        <f t="shared" si="135"/>
        <v>20246.7</v>
      </c>
      <c r="AB519" s="37">
        <v>2024</v>
      </c>
      <c r="AC519" s="110"/>
      <c r="AD519" s="89"/>
    </row>
    <row r="520" spans="1:31" ht="47.25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69" t="s">
        <v>305</v>
      </c>
      <c r="S520" s="148" t="s">
        <v>37</v>
      </c>
      <c r="T520" s="40">
        <v>0</v>
      </c>
      <c r="U520" s="40">
        <v>0</v>
      </c>
      <c r="V520" s="40">
        <v>0</v>
      </c>
      <c r="W520" s="40">
        <v>0</v>
      </c>
      <c r="X520" s="40">
        <v>0</v>
      </c>
      <c r="Y520" s="40">
        <v>1</v>
      </c>
      <c r="Z520" s="40">
        <v>4</v>
      </c>
      <c r="AA520" s="41">
        <f t="shared" si="135"/>
        <v>5</v>
      </c>
      <c r="AB520" s="37">
        <v>2024</v>
      </c>
      <c r="AC520" s="110"/>
      <c r="AD520" s="89"/>
    </row>
    <row r="521" spans="1:31" ht="31.5" x14ac:dyDescent="0.25">
      <c r="A521" s="48" t="s">
        <v>18</v>
      </c>
      <c r="B521" s="48" t="s">
        <v>18</v>
      </c>
      <c r="C521" s="48" t="s">
        <v>24</v>
      </c>
      <c r="D521" s="48" t="s">
        <v>18</v>
      </c>
      <c r="E521" s="48" t="s">
        <v>21</v>
      </c>
      <c r="F521" s="48" t="s">
        <v>18</v>
      </c>
      <c r="G521" s="48" t="s">
        <v>22</v>
      </c>
      <c r="H521" s="48" t="s">
        <v>19</v>
      </c>
      <c r="I521" s="48" t="s">
        <v>24</v>
      </c>
      <c r="J521" s="48" t="s">
        <v>18</v>
      </c>
      <c r="K521" s="48" t="s">
        <v>18</v>
      </c>
      <c r="L521" s="48" t="s">
        <v>22</v>
      </c>
      <c r="M521" s="48" t="s">
        <v>42</v>
      </c>
      <c r="N521" s="48" t="s">
        <v>42</v>
      </c>
      <c r="O521" s="48" t="s">
        <v>42</v>
      </c>
      <c r="P521" s="48" t="s">
        <v>42</v>
      </c>
      <c r="Q521" s="48" t="s">
        <v>42</v>
      </c>
      <c r="R521" s="66" t="s">
        <v>135</v>
      </c>
      <c r="S521" s="49" t="s">
        <v>0</v>
      </c>
      <c r="T521" s="1">
        <f>398.5-63.6-24.8</f>
        <v>310.09999999999997</v>
      </c>
      <c r="U521" s="1">
        <f>398.5-18.9</f>
        <v>379.6</v>
      </c>
      <c r="V521" s="1">
        <f>398.5-27.6</f>
        <v>370.9</v>
      </c>
      <c r="W521" s="1">
        <f>399.6-9.9</f>
        <v>389.70000000000005</v>
      </c>
      <c r="X521" s="1">
        <v>392.5</v>
      </c>
      <c r="Y521" s="1">
        <f>399.6+150-10.6</f>
        <v>539</v>
      </c>
      <c r="Z521" s="1">
        <v>399.6</v>
      </c>
      <c r="AA521" s="53">
        <f t="shared" si="135"/>
        <v>2781.4</v>
      </c>
      <c r="AB521" s="52">
        <v>2024</v>
      </c>
      <c r="AC521" s="106"/>
      <c r="AD521" s="89"/>
    </row>
    <row r="522" spans="1:31" ht="31.5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69" t="s">
        <v>306</v>
      </c>
      <c r="S522" s="148" t="s">
        <v>31</v>
      </c>
      <c r="T522" s="4">
        <v>421.4</v>
      </c>
      <c r="U522" s="4">
        <v>195</v>
      </c>
      <c r="V522" s="4">
        <v>554</v>
      </c>
      <c r="W522" s="3">
        <v>447</v>
      </c>
      <c r="X522" s="3">
        <v>444</v>
      </c>
      <c r="Y522" s="3">
        <v>660.7</v>
      </c>
      <c r="Z522" s="3">
        <v>387</v>
      </c>
      <c r="AA522" s="6">
        <f t="shared" si="135"/>
        <v>3109.1000000000004</v>
      </c>
      <c r="AB522" s="37">
        <v>2024</v>
      </c>
      <c r="AC522" s="110"/>
      <c r="AD522" s="89"/>
    </row>
    <row r="523" spans="1:31" ht="47.25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69" t="s">
        <v>307</v>
      </c>
      <c r="S523" s="148" t="s">
        <v>37</v>
      </c>
      <c r="T523" s="2">
        <v>0</v>
      </c>
      <c r="U523" s="2">
        <v>0</v>
      </c>
      <c r="V523" s="2">
        <v>0</v>
      </c>
      <c r="W523" s="40">
        <v>0</v>
      </c>
      <c r="X523" s="40">
        <v>0</v>
      </c>
      <c r="Y523" s="40">
        <v>0</v>
      </c>
      <c r="Z523" s="40">
        <v>2</v>
      </c>
      <c r="AA523" s="43">
        <f t="shared" ref="AA523" si="139">SUM(T523:Z523)</f>
        <v>2</v>
      </c>
      <c r="AB523" s="37">
        <v>2024</v>
      </c>
      <c r="AC523" s="110"/>
      <c r="AD523" s="89"/>
    </row>
    <row r="524" spans="1:31" ht="31.5" x14ac:dyDescent="0.25">
      <c r="A524" s="48" t="s">
        <v>18</v>
      </c>
      <c r="B524" s="48" t="s">
        <v>18</v>
      </c>
      <c r="C524" s="48" t="s">
        <v>21</v>
      </c>
      <c r="D524" s="48" t="s">
        <v>18</v>
      </c>
      <c r="E524" s="48" t="s">
        <v>21</v>
      </c>
      <c r="F524" s="48" t="s">
        <v>18</v>
      </c>
      <c r="G524" s="48" t="s">
        <v>22</v>
      </c>
      <c r="H524" s="48" t="s">
        <v>19</v>
      </c>
      <c r="I524" s="48" t="s">
        <v>24</v>
      </c>
      <c r="J524" s="48" t="s">
        <v>18</v>
      </c>
      <c r="K524" s="48" t="s">
        <v>18</v>
      </c>
      <c r="L524" s="48" t="s">
        <v>22</v>
      </c>
      <c r="M524" s="48" t="s">
        <v>42</v>
      </c>
      <c r="N524" s="48" t="s">
        <v>42</v>
      </c>
      <c r="O524" s="48" t="s">
        <v>42</v>
      </c>
      <c r="P524" s="48" t="s">
        <v>42</v>
      </c>
      <c r="Q524" s="48" t="s">
        <v>42</v>
      </c>
      <c r="R524" s="146" t="s">
        <v>136</v>
      </c>
      <c r="S524" s="49" t="s">
        <v>0</v>
      </c>
      <c r="T524" s="1">
        <f>1961.8-500-47.8</f>
        <v>1414</v>
      </c>
      <c r="U524" s="1">
        <f>1163-0.4</f>
        <v>1162.5999999999999</v>
      </c>
      <c r="V524" s="1">
        <f>1165.6-57.2</f>
        <v>1108.3999999999999</v>
      </c>
      <c r="W524" s="1">
        <f>1166.9-121.7</f>
        <v>1045.2</v>
      </c>
      <c r="X524" s="1">
        <f>1166.9-27.1+21</f>
        <v>1160.8000000000002</v>
      </c>
      <c r="Y524" s="1">
        <f>1166.9-225.5</f>
        <v>941.40000000000009</v>
      </c>
      <c r="Z524" s="1">
        <v>1166.9000000000001</v>
      </c>
      <c r="AA524" s="53">
        <f t="shared" si="135"/>
        <v>7999.2999999999993</v>
      </c>
      <c r="AB524" s="52">
        <v>2024</v>
      </c>
      <c r="AC524" s="106"/>
      <c r="AD524" s="89"/>
    </row>
    <row r="525" spans="1:31" ht="31.5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69" t="s">
        <v>315</v>
      </c>
      <c r="S525" s="148" t="s">
        <v>31</v>
      </c>
      <c r="T525" s="4">
        <v>3300</v>
      </c>
      <c r="U525" s="4">
        <v>1194.5</v>
      </c>
      <c r="V525" s="4">
        <v>1600</v>
      </c>
      <c r="W525" s="3">
        <v>1904.6</v>
      </c>
      <c r="X525" s="3">
        <v>1556</v>
      </c>
      <c r="Y525" s="3">
        <v>912.5</v>
      </c>
      <c r="Z525" s="3">
        <v>1382</v>
      </c>
      <c r="AA525" s="5">
        <f t="shared" si="135"/>
        <v>11849.6</v>
      </c>
      <c r="AB525" s="37">
        <v>2024</v>
      </c>
      <c r="AC525" s="110"/>
      <c r="AD525" s="89"/>
    </row>
    <row r="526" spans="1:31" ht="47.25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69" t="s">
        <v>316</v>
      </c>
      <c r="S526" s="148" t="s">
        <v>37</v>
      </c>
      <c r="T526" s="2">
        <v>0</v>
      </c>
      <c r="U526" s="2">
        <v>0</v>
      </c>
      <c r="V526" s="2">
        <v>0</v>
      </c>
      <c r="W526" s="40">
        <v>1</v>
      </c>
      <c r="X526" s="40">
        <v>0</v>
      </c>
      <c r="Y526" s="40">
        <v>0</v>
      </c>
      <c r="Z526" s="40">
        <v>3</v>
      </c>
      <c r="AA526" s="41">
        <f t="shared" ref="AA526" si="140">SUM(T526:Z526)</f>
        <v>4</v>
      </c>
      <c r="AB526" s="37">
        <v>2024</v>
      </c>
      <c r="AC526" s="125"/>
      <c r="AD526" s="89"/>
    </row>
    <row r="527" spans="1:31" ht="31.5" x14ac:dyDescent="0.25">
      <c r="A527" s="48" t="s">
        <v>18</v>
      </c>
      <c r="B527" s="48" t="s">
        <v>18</v>
      </c>
      <c r="C527" s="48" t="s">
        <v>25</v>
      </c>
      <c r="D527" s="48" t="s">
        <v>18</v>
      </c>
      <c r="E527" s="48" t="s">
        <v>21</v>
      </c>
      <c r="F527" s="48" t="s">
        <v>18</v>
      </c>
      <c r="G527" s="48" t="s">
        <v>22</v>
      </c>
      <c r="H527" s="48" t="s">
        <v>19</v>
      </c>
      <c r="I527" s="48" t="s">
        <v>24</v>
      </c>
      <c r="J527" s="48" t="s">
        <v>18</v>
      </c>
      <c r="K527" s="48" t="s">
        <v>18</v>
      </c>
      <c r="L527" s="48" t="s">
        <v>22</v>
      </c>
      <c r="M527" s="48" t="s">
        <v>42</v>
      </c>
      <c r="N527" s="48" t="s">
        <v>42</v>
      </c>
      <c r="O527" s="48" t="s">
        <v>42</v>
      </c>
      <c r="P527" s="48" t="s">
        <v>42</v>
      </c>
      <c r="Q527" s="48" t="s">
        <v>42</v>
      </c>
      <c r="R527" s="146" t="s">
        <v>137</v>
      </c>
      <c r="S527" s="49" t="s">
        <v>0</v>
      </c>
      <c r="T527" s="1">
        <f>1502-455.3-60.8</f>
        <v>985.90000000000009</v>
      </c>
      <c r="U527" s="1">
        <f>1000-21.6</f>
        <v>978.4</v>
      </c>
      <c r="V527" s="1">
        <f>700-98.9</f>
        <v>601.1</v>
      </c>
      <c r="W527" s="1">
        <f>500.4-79.7</f>
        <v>420.7</v>
      </c>
      <c r="X527" s="1">
        <f>328.2-20.6</f>
        <v>307.59999999999997</v>
      </c>
      <c r="Y527" s="1">
        <f>328.2-18.9</f>
        <v>309.3</v>
      </c>
      <c r="Z527" s="1">
        <v>370</v>
      </c>
      <c r="AA527" s="53">
        <f t="shared" si="135"/>
        <v>3973</v>
      </c>
      <c r="AB527" s="52">
        <v>2024</v>
      </c>
      <c r="AC527" s="107"/>
      <c r="AD527" s="10"/>
    </row>
    <row r="528" spans="1:31" ht="31.5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67" t="s">
        <v>317</v>
      </c>
      <c r="S528" s="148" t="s">
        <v>31</v>
      </c>
      <c r="T528" s="3">
        <v>1903</v>
      </c>
      <c r="U528" s="3">
        <v>100</v>
      </c>
      <c r="V528" s="3">
        <v>433.2</v>
      </c>
      <c r="W528" s="3">
        <v>524</v>
      </c>
      <c r="X528" s="3">
        <v>569</v>
      </c>
      <c r="Y528" s="3">
        <v>262.8</v>
      </c>
      <c r="Z528" s="3">
        <v>252</v>
      </c>
      <c r="AA528" s="5">
        <f t="shared" si="135"/>
        <v>4044</v>
      </c>
      <c r="AB528" s="37">
        <v>2024</v>
      </c>
      <c r="AC528" s="110"/>
      <c r="AD528" s="89"/>
    </row>
    <row r="529" spans="1:34" ht="47.25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69" t="s">
        <v>318</v>
      </c>
      <c r="S529" s="148" t="s">
        <v>37</v>
      </c>
      <c r="T529" s="40">
        <v>0</v>
      </c>
      <c r="U529" s="40">
        <v>0</v>
      </c>
      <c r="V529" s="40">
        <v>0</v>
      </c>
      <c r="W529" s="40">
        <v>1</v>
      </c>
      <c r="X529" s="40">
        <v>0</v>
      </c>
      <c r="Y529" s="40">
        <v>0</v>
      </c>
      <c r="Z529" s="40">
        <v>2</v>
      </c>
      <c r="AA529" s="41">
        <f t="shared" ref="AA529" si="141">SUM(T529:Z529)</f>
        <v>3</v>
      </c>
      <c r="AB529" s="37">
        <v>2024</v>
      </c>
      <c r="AC529" s="125"/>
      <c r="AD529" s="89"/>
    </row>
    <row r="530" spans="1:34" s="84" customFormat="1" ht="33" customHeight="1" x14ac:dyDescent="0.25">
      <c r="A530" s="48" t="s">
        <v>18</v>
      </c>
      <c r="B530" s="48" t="s">
        <v>19</v>
      </c>
      <c r="C530" s="48" t="s">
        <v>20</v>
      </c>
      <c r="D530" s="48" t="s">
        <v>18</v>
      </c>
      <c r="E530" s="48" t="s">
        <v>24</v>
      </c>
      <c r="F530" s="48" t="s">
        <v>18</v>
      </c>
      <c r="G530" s="48" t="s">
        <v>21</v>
      </c>
      <c r="H530" s="48" t="s">
        <v>19</v>
      </c>
      <c r="I530" s="48" t="s">
        <v>24</v>
      </c>
      <c r="J530" s="48" t="s">
        <v>18</v>
      </c>
      <c r="K530" s="48" t="s">
        <v>18</v>
      </c>
      <c r="L530" s="48" t="s">
        <v>22</v>
      </c>
      <c r="M530" s="48" t="s">
        <v>42</v>
      </c>
      <c r="N530" s="48" t="s">
        <v>42</v>
      </c>
      <c r="O530" s="48" t="s">
        <v>42</v>
      </c>
      <c r="P530" s="48" t="s">
        <v>42</v>
      </c>
      <c r="Q530" s="48" t="s">
        <v>42</v>
      </c>
      <c r="R530" s="145" t="s">
        <v>333</v>
      </c>
      <c r="S530" s="52" t="s">
        <v>0</v>
      </c>
      <c r="T530" s="53">
        <v>0</v>
      </c>
      <c r="U530" s="53">
        <v>6000</v>
      </c>
      <c r="V530" s="53">
        <v>0</v>
      </c>
      <c r="W530" s="53">
        <v>0</v>
      </c>
      <c r="X530" s="53">
        <v>0</v>
      </c>
      <c r="Y530" s="53">
        <v>0</v>
      </c>
      <c r="Z530" s="53">
        <v>0</v>
      </c>
      <c r="AA530" s="53">
        <f>T530+U530+V530+W530+X530+Y530</f>
        <v>6000</v>
      </c>
      <c r="AB530" s="52">
        <v>2019</v>
      </c>
      <c r="AC530" s="137"/>
    </row>
    <row r="531" spans="1:34" s="62" customFormat="1" ht="47.25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67" t="s">
        <v>283</v>
      </c>
      <c r="S531" s="37" t="s">
        <v>37</v>
      </c>
      <c r="T531" s="37">
        <v>0</v>
      </c>
      <c r="U531" s="37">
        <v>1</v>
      </c>
      <c r="V531" s="37">
        <v>0</v>
      </c>
      <c r="W531" s="37">
        <v>0</v>
      </c>
      <c r="X531" s="37">
        <v>0</v>
      </c>
      <c r="Y531" s="37">
        <v>0</v>
      </c>
      <c r="Z531" s="37">
        <v>0</v>
      </c>
      <c r="AA531" s="43">
        <f>U531</f>
        <v>1</v>
      </c>
      <c r="AB531" s="37">
        <v>2019</v>
      </c>
      <c r="AC531" s="98"/>
    </row>
    <row r="532" spans="1:34" s="131" customFormat="1" ht="46.9" hidden="1" customHeight="1" x14ac:dyDescent="0.25">
      <c r="A532" s="19" t="s">
        <v>18</v>
      </c>
      <c r="B532" s="19" t="s">
        <v>24</v>
      </c>
      <c r="C532" s="19" t="s">
        <v>22</v>
      </c>
      <c r="D532" s="19" t="s">
        <v>18</v>
      </c>
      <c r="E532" s="19" t="s">
        <v>21</v>
      </c>
      <c r="F532" s="19" t="s">
        <v>18</v>
      </c>
      <c r="G532" s="19" t="s">
        <v>22</v>
      </c>
      <c r="H532" s="19" t="s">
        <v>19</v>
      </c>
      <c r="I532" s="19" t="s">
        <v>24</v>
      </c>
      <c r="J532" s="19" t="s">
        <v>18</v>
      </c>
      <c r="K532" s="19" t="s">
        <v>18</v>
      </c>
      <c r="L532" s="19" t="s">
        <v>22</v>
      </c>
      <c r="M532" s="19" t="s">
        <v>42</v>
      </c>
      <c r="N532" s="19" t="s">
        <v>42</v>
      </c>
      <c r="O532" s="19" t="s">
        <v>42</v>
      </c>
      <c r="P532" s="19" t="s">
        <v>42</v>
      </c>
      <c r="Q532" s="19" t="s">
        <v>42</v>
      </c>
      <c r="R532" s="129" t="s">
        <v>320</v>
      </c>
      <c r="S532" s="57" t="s">
        <v>0</v>
      </c>
      <c r="T532" s="130">
        <v>0</v>
      </c>
      <c r="U532" s="130">
        <v>0</v>
      </c>
      <c r="V532" s="130">
        <v>0</v>
      </c>
      <c r="W532" s="130">
        <v>0</v>
      </c>
      <c r="X532" s="130">
        <v>0</v>
      </c>
      <c r="Y532" s="130">
        <v>0</v>
      </c>
      <c r="Z532" s="130">
        <v>0</v>
      </c>
      <c r="AA532" s="22">
        <f t="shared" si="135"/>
        <v>0</v>
      </c>
      <c r="AB532" s="21">
        <v>2024</v>
      </c>
      <c r="AC532" s="31"/>
    </row>
    <row r="533" spans="1:34" s="131" customFormat="1" ht="31.15" hidden="1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20" t="s">
        <v>321</v>
      </c>
      <c r="S533" s="57" t="s">
        <v>31</v>
      </c>
      <c r="T533" s="130">
        <v>0</v>
      </c>
      <c r="U533" s="130">
        <v>0</v>
      </c>
      <c r="V533" s="130">
        <v>0</v>
      </c>
      <c r="W533" s="130">
        <v>0</v>
      </c>
      <c r="X533" s="130">
        <v>0</v>
      </c>
      <c r="Y533" s="130">
        <v>0</v>
      </c>
      <c r="Z533" s="130">
        <v>0</v>
      </c>
      <c r="AA533" s="22">
        <f t="shared" si="135"/>
        <v>0</v>
      </c>
      <c r="AB533" s="57">
        <v>2024</v>
      </c>
      <c r="AC533" s="107"/>
      <c r="AD533" s="132"/>
      <c r="AE533" s="133"/>
      <c r="AF533" s="133"/>
      <c r="AG533" s="133"/>
      <c r="AH533" s="134"/>
    </row>
    <row r="534" spans="1:34" ht="0.75" hidden="1" customHeight="1" x14ac:dyDescent="0.25">
      <c r="A534" s="48"/>
      <c r="B534" s="48"/>
      <c r="C534" s="48"/>
      <c r="D534" s="48" t="s">
        <v>18</v>
      </c>
      <c r="E534" s="48" t="s">
        <v>21</v>
      </c>
      <c r="F534" s="48" t="s">
        <v>18</v>
      </c>
      <c r="G534" s="48" t="s">
        <v>22</v>
      </c>
      <c r="H534" s="48" t="s">
        <v>18</v>
      </c>
      <c r="I534" s="48" t="s">
        <v>23</v>
      </c>
      <c r="J534" s="48" t="s">
        <v>18</v>
      </c>
      <c r="K534" s="48" t="s">
        <v>18</v>
      </c>
      <c r="L534" s="48" t="s">
        <v>20</v>
      </c>
      <c r="M534" s="48" t="s">
        <v>19</v>
      </c>
      <c r="N534" s="48" t="s">
        <v>18</v>
      </c>
      <c r="O534" s="48" t="s">
        <v>21</v>
      </c>
      <c r="P534" s="48" t="s">
        <v>21</v>
      </c>
      <c r="Q534" s="48" t="s">
        <v>18</v>
      </c>
      <c r="R534" s="156" t="s">
        <v>138</v>
      </c>
      <c r="S534" s="49" t="s">
        <v>0</v>
      </c>
      <c r="T534" s="1">
        <f t="shared" ref="T534:Y535" si="142">T537+T540+T543+T546</f>
        <v>1308.2000000000003</v>
      </c>
      <c r="U534" s="1">
        <f t="shared" si="142"/>
        <v>1308.2000000000003</v>
      </c>
      <c r="V534" s="1">
        <f t="shared" si="142"/>
        <v>1308.2000000000003</v>
      </c>
      <c r="W534" s="1">
        <f t="shared" si="142"/>
        <v>1308.2000000000003</v>
      </c>
      <c r="X534" s="1">
        <f t="shared" si="142"/>
        <v>1308.2000000000003</v>
      </c>
      <c r="Y534" s="1">
        <f t="shared" si="142"/>
        <v>1308.2000000000003</v>
      </c>
      <c r="Z534" s="1">
        <f t="shared" ref="Z534" si="143">Z537+Z540+Z543+Z546</f>
        <v>1308.2000000000003</v>
      </c>
      <c r="AA534" s="53">
        <f>T534+U534+V534+W534+X534+Y534</f>
        <v>7849.2000000000025</v>
      </c>
      <c r="AB534" s="63">
        <v>2016</v>
      </c>
      <c r="AC534" s="31"/>
      <c r="AD534" s="10"/>
      <c r="AE534" s="10"/>
    </row>
    <row r="535" spans="1:34" ht="31.5" x14ac:dyDescent="0.25">
      <c r="A535" s="48"/>
      <c r="B535" s="48"/>
      <c r="C535" s="48"/>
      <c r="D535" s="48" t="s">
        <v>18</v>
      </c>
      <c r="E535" s="48" t="s">
        <v>24</v>
      </c>
      <c r="F535" s="48" t="s">
        <v>18</v>
      </c>
      <c r="G535" s="48" t="s">
        <v>21</v>
      </c>
      <c r="H535" s="48" t="s">
        <v>19</v>
      </c>
      <c r="I535" s="48" t="s">
        <v>24</v>
      </c>
      <c r="J535" s="48" t="s">
        <v>18</v>
      </c>
      <c r="K535" s="48" t="s">
        <v>18</v>
      </c>
      <c r="L535" s="48" t="s">
        <v>22</v>
      </c>
      <c r="M535" s="48" t="s">
        <v>19</v>
      </c>
      <c r="N535" s="48" t="s">
        <v>18</v>
      </c>
      <c r="O535" s="48" t="s">
        <v>21</v>
      </c>
      <c r="P535" s="48" t="s">
        <v>21</v>
      </c>
      <c r="Q535" s="48" t="s">
        <v>18</v>
      </c>
      <c r="R535" s="156"/>
      <c r="S535" s="52" t="s">
        <v>0</v>
      </c>
      <c r="T535" s="53">
        <f t="shared" si="142"/>
        <v>1399.4</v>
      </c>
      <c r="U535" s="53">
        <f>U538+U541+U544+U547+U551</f>
        <v>802.7</v>
      </c>
      <c r="V535" s="53">
        <f t="shared" si="142"/>
        <v>0</v>
      </c>
      <c r="W535" s="53">
        <f t="shared" si="142"/>
        <v>0</v>
      </c>
      <c r="X535" s="53">
        <f t="shared" si="142"/>
        <v>0</v>
      </c>
      <c r="Y535" s="53">
        <f t="shared" si="142"/>
        <v>0</v>
      </c>
      <c r="Z535" s="53">
        <f t="shared" ref="Z535" si="144">Z538+Z541+Z544+Z547</f>
        <v>0</v>
      </c>
      <c r="AA535" s="53">
        <f>SUM(T535:Z535)</f>
        <v>2202.1000000000004</v>
      </c>
      <c r="AB535" s="52">
        <v>2019</v>
      </c>
      <c r="AC535" s="107"/>
      <c r="AD535" s="10"/>
      <c r="AE535" s="10"/>
    </row>
    <row r="536" spans="1:34" ht="31.5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67" t="s">
        <v>139</v>
      </c>
      <c r="S536" s="148" t="s">
        <v>48</v>
      </c>
      <c r="T536" s="40">
        <f t="shared" ref="T536:Y536" si="145">T539+T542+T545+T550</f>
        <v>450</v>
      </c>
      <c r="U536" s="40">
        <f>U539+U542+U545+U550+U555</f>
        <v>450</v>
      </c>
      <c r="V536" s="40">
        <f t="shared" si="145"/>
        <v>0</v>
      </c>
      <c r="W536" s="40">
        <f t="shared" si="145"/>
        <v>0</v>
      </c>
      <c r="X536" s="40">
        <f t="shared" si="145"/>
        <v>0</v>
      </c>
      <c r="Y536" s="40">
        <f t="shared" si="145"/>
        <v>0</v>
      </c>
      <c r="Z536" s="40">
        <f t="shared" ref="Z536" si="146">Z539+Z542+Z545+Z550</f>
        <v>0</v>
      </c>
      <c r="AA536" s="43">
        <f>SUM(T536:Z536)</f>
        <v>900</v>
      </c>
      <c r="AB536" s="37">
        <v>2019</v>
      </c>
      <c r="AC536" s="31"/>
      <c r="AD536" s="10"/>
      <c r="AE536" s="10"/>
    </row>
    <row r="537" spans="1:34" ht="31.5" hidden="1" customHeight="1" x14ac:dyDescent="0.25">
      <c r="A537" s="48" t="s">
        <v>18</v>
      </c>
      <c r="B537" s="48" t="s">
        <v>18</v>
      </c>
      <c r="C537" s="48" t="s">
        <v>22</v>
      </c>
      <c r="D537" s="48" t="s">
        <v>18</v>
      </c>
      <c r="E537" s="48" t="s">
        <v>21</v>
      </c>
      <c r="F537" s="48" t="s">
        <v>18</v>
      </c>
      <c r="G537" s="48" t="s">
        <v>22</v>
      </c>
      <c r="H537" s="48" t="s">
        <v>18</v>
      </c>
      <c r="I537" s="48" t="s">
        <v>23</v>
      </c>
      <c r="J537" s="48" t="s">
        <v>18</v>
      </c>
      <c r="K537" s="48" t="s">
        <v>18</v>
      </c>
      <c r="L537" s="48" t="s">
        <v>20</v>
      </c>
      <c r="M537" s="48" t="s">
        <v>19</v>
      </c>
      <c r="N537" s="48" t="s">
        <v>18</v>
      </c>
      <c r="O537" s="48" t="s">
        <v>21</v>
      </c>
      <c r="P537" s="48" t="s">
        <v>21</v>
      </c>
      <c r="Q537" s="48" t="s">
        <v>18</v>
      </c>
      <c r="R537" s="167" t="s">
        <v>338</v>
      </c>
      <c r="S537" s="49" t="s">
        <v>0</v>
      </c>
      <c r="T537" s="1">
        <f t="shared" ref="T537:Z537" si="147">472.4-26.9</f>
        <v>445.5</v>
      </c>
      <c r="U537" s="1">
        <f t="shared" si="147"/>
        <v>445.5</v>
      </c>
      <c r="V537" s="1">
        <f t="shared" si="147"/>
        <v>445.5</v>
      </c>
      <c r="W537" s="1">
        <f t="shared" si="147"/>
        <v>445.5</v>
      </c>
      <c r="X537" s="1">
        <f t="shared" si="147"/>
        <v>445.5</v>
      </c>
      <c r="Y537" s="1">
        <f t="shared" si="147"/>
        <v>445.5</v>
      </c>
      <c r="Z537" s="1">
        <f t="shared" si="147"/>
        <v>445.5</v>
      </c>
      <c r="AA537" s="53">
        <f t="shared" ref="AA537:AA546" si="148">T537+U537+V537+W537+X537+Y537</f>
        <v>2673</v>
      </c>
      <c r="AB537" s="37">
        <v>2023</v>
      </c>
      <c r="AC537" s="31"/>
      <c r="AD537" s="10"/>
      <c r="AE537" s="10"/>
    </row>
    <row r="538" spans="1:34" ht="31.5" x14ac:dyDescent="0.25">
      <c r="A538" s="48" t="s">
        <v>18</v>
      </c>
      <c r="B538" s="48" t="s">
        <v>18</v>
      </c>
      <c r="C538" s="48" t="s">
        <v>22</v>
      </c>
      <c r="D538" s="48" t="s">
        <v>18</v>
      </c>
      <c r="E538" s="48" t="s">
        <v>24</v>
      </c>
      <c r="F538" s="48" t="s">
        <v>18</v>
      </c>
      <c r="G538" s="48" t="s">
        <v>21</v>
      </c>
      <c r="H538" s="48" t="s">
        <v>19</v>
      </c>
      <c r="I538" s="48" t="s">
        <v>24</v>
      </c>
      <c r="J538" s="48" t="s">
        <v>18</v>
      </c>
      <c r="K538" s="48" t="s">
        <v>18</v>
      </c>
      <c r="L538" s="48" t="s">
        <v>22</v>
      </c>
      <c r="M538" s="48" t="s">
        <v>19</v>
      </c>
      <c r="N538" s="48" t="s">
        <v>18</v>
      </c>
      <c r="O538" s="48" t="s">
        <v>21</v>
      </c>
      <c r="P538" s="48" t="s">
        <v>21</v>
      </c>
      <c r="Q538" s="48" t="s">
        <v>18</v>
      </c>
      <c r="R538" s="167"/>
      <c r="S538" s="49" t="s">
        <v>0</v>
      </c>
      <c r="T538" s="1">
        <f t="shared" ref="T538" si="149">445.5+45.8</f>
        <v>491.3</v>
      </c>
      <c r="U538" s="1">
        <f>445.5+45.8+47.5-415.7</f>
        <v>123.09999999999997</v>
      </c>
      <c r="V538" s="1">
        <f>445.5+45.8+53.6-544.9</f>
        <v>0</v>
      </c>
      <c r="W538" s="1">
        <f t="shared" ref="W538:X538" si="150">445.5+45.8+53.6-544.9</f>
        <v>0</v>
      </c>
      <c r="X538" s="1">
        <f t="shared" si="150"/>
        <v>0</v>
      </c>
      <c r="Y538" s="1">
        <v>0</v>
      </c>
      <c r="Z538" s="1">
        <v>0</v>
      </c>
      <c r="AA538" s="53">
        <f>SUM(T538:Z538)</f>
        <v>614.4</v>
      </c>
      <c r="AB538" s="52">
        <v>2019</v>
      </c>
      <c r="AC538" s="107"/>
    </row>
    <row r="539" spans="1:34" ht="32.2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69" t="s">
        <v>141</v>
      </c>
      <c r="S539" s="148" t="s">
        <v>48</v>
      </c>
      <c r="T539" s="2">
        <v>158</v>
      </c>
      <c r="U539" s="40">
        <v>37</v>
      </c>
      <c r="V539" s="2">
        <f>154-154</f>
        <v>0</v>
      </c>
      <c r="W539" s="2">
        <v>0</v>
      </c>
      <c r="X539" s="2">
        <v>0</v>
      </c>
      <c r="Y539" s="2">
        <v>0</v>
      </c>
      <c r="Z539" s="2">
        <v>0</v>
      </c>
      <c r="AA539" s="43">
        <f>SUM(T539:Z539)</f>
        <v>195</v>
      </c>
      <c r="AB539" s="37">
        <v>2019</v>
      </c>
      <c r="AC539" s="31"/>
    </row>
    <row r="540" spans="1:34" ht="36" hidden="1" customHeight="1" x14ac:dyDescent="0.25">
      <c r="A540" s="48" t="s">
        <v>18</v>
      </c>
      <c r="B540" s="48" t="s">
        <v>18</v>
      </c>
      <c r="C540" s="48" t="s">
        <v>24</v>
      </c>
      <c r="D540" s="48" t="s">
        <v>18</v>
      </c>
      <c r="E540" s="48" t="s">
        <v>21</v>
      </c>
      <c r="F540" s="48" t="s">
        <v>18</v>
      </c>
      <c r="G540" s="48" t="s">
        <v>22</v>
      </c>
      <c r="H540" s="48" t="s">
        <v>18</v>
      </c>
      <c r="I540" s="48" t="s">
        <v>23</v>
      </c>
      <c r="J540" s="48" t="s">
        <v>18</v>
      </c>
      <c r="K540" s="48" t="s">
        <v>18</v>
      </c>
      <c r="L540" s="48" t="s">
        <v>20</v>
      </c>
      <c r="M540" s="48" t="s">
        <v>19</v>
      </c>
      <c r="N540" s="48" t="s">
        <v>18</v>
      </c>
      <c r="O540" s="48" t="s">
        <v>21</v>
      </c>
      <c r="P540" s="48" t="s">
        <v>21</v>
      </c>
      <c r="Q540" s="48" t="s">
        <v>18</v>
      </c>
      <c r="R540" s="163" t="s">
        <v>140</v>
      </c>
      <c r="S540" s="49" t="s">
        <v>0</v>
      </c>
      <c r="T540" s="1">
        <f t="shared" ref="T540:Z540" si="151">302-17.3</f>
        <v>284.7</v>
      </c>
      <c r="U540" s="1">
        <f t="shared" si="151"/>
        <v>284.7</v>
      </c>
      <c r="V540" s="1">
        <f t="shared" si="151"/>
        <v>284.7</v>
      </c>
      <c r="W540" s="1">
        <f t="shared" si="151"/>
        <v>284.7</v>
      </c>
      <c r="X540" s="1">
        <f t="shared" si="151"/>
        <v>284.7</v>
      </c>
      <c r="Y540" s="1">
        <f t="shared" si="151"/>
        <v>284.7</v>
      </c>
      <c r="Z540" s="1">
        <f t="shared" si="151"/>
        <v>284.7</v>
      </c>
      <c r="AA540" s="53">
        <f t="shared" si="148"/>
        <v>1708.2</v>
      </c>
      <c r="AB540" s="37">
        <v>2023</v>
      </c>
      <c r="AC540" s="31"/>
    </row>
    <row r="541" spans="1:34" ht="31.5" x14ac:dyDescent="0.25">
      <c r="A541" s="48" t="s">
        <v>18</v>
      </c>
      <c r="B541" s="48" t="s">
        <v>18</v>
      </c>
      <c r="C541" s="48" t="s">
        <v>24</v>
      </c>
      <c r="D541" s="48" t="s">
        <v>18</v>
      </c>
      <c r="E541" s="48" t="s">
        <v>24</v>
      </c>
      <c r="F541" s="48" t="s">
        <v>18</v>
      </c>
      <c r="G541" s="48" t="s">
        <v>21</v>
      </c>
      <c r="H541" s="48" t="s">
        <v>19</v>
      </c>
      <c r="I541" s="48" t="s">
        <v>24</v>
      </c>
      <c r="J541" s="48" t="s">
        <v>18</v>
      </c>
      <c r="K541" s="48" t="s">
        <v>18</v>
      </c>
      <c r="L541" s="48" t="s">
        <v>22</v>
      </c>
      <c r="M541" s="48" t="s">
        <v>19</v>
      </c>
      <c r="N541" s="48" t="s">
        <v>18</v>
      </c>
      <c r="O541" s="48" t="s">
        <v>21</v>
      </c>
      <c r="P541" s="48" t="s">
        <v>21</v>
      </c>
      <c r="Q541" s="48" t="s">
        <v>18</v>
      </c>
      <c r="R541" s="163"/>
      <c r="S541" s="49" t="s">
        <v>0</v>
      </c>
      <c r="T541" s="1">
        <f t="shared" ref="T541" si="152">284.7-29.7</f>
        <v>255</v>
      </c>
      <c r="U541" s="1">
        <f>284.7-29.7+24.6-218.9</f>
        <v>60.700000000000017</v>
      </c>
      <c r="V541" s="1">
        <f>284.7-29.7+27.8-282.8</f>
        <v>0</v>
      </c>
      <c r="W541" s="1">
        <v>0</v>
      </c>
      <c r="X541" s="1">
        <v>0</v>
      </c>
      <c r="Y541" s="1">
        <v>0</v>
      </c>
      <c r="Z541" s="1">
        <v>0</v>
      </c>
      <c r="AA541" s="53">
        <f>SUM(T541:Z541)</f>
        <v>315.70000000000005</v>
      </c>
      <c r="AB541" s="52">
        <v>2019</v>
      </c>
      <c r="AC541" s="107"/>
    </row>
    <row r="542" spans="1:34" ht="31.5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69" t="s">
        <v>142</v>
      </c>
      <c r="S542" s="148" t="s">
        <v>48</v>
      </c>
      <c r="T542" s="2">
        <v>82</v>
      </c>
      <c r="U542" s="40">
        <v>20</v>
      </c>
      <c r="V542" s="2">
        <f>82-82</f>
        <v>0</v>
      </c>
      <c r="W542" s="2">
        <v>0</v>
      </c>
      <c r="X542" s="2">
        <v>0</v>
      </c>
      <c r="Y542" s="2">
        <v>0</v>
      </c>
      <c r="Z542" s="2">
        <v>0</v>
      </c>
      <c r="AA542" s="43">
        <f>SUM(T542:Z542)</f>
        <v>102</v>
      </c>
      <c r="AB542" s="37">
        <v>2019</v>
      </c>
      <c r="AC542" s="31"/>
    </row>
    <row r="543" spans="1:34" ht="5.25" hidden="1" customHeight="1" x14ac:dyDescent="0.25">
      <c r="A543" s="48" t="s">
        <v>18</v>
      </c>
      <c r="B543" s="48" t="s">
        <v>18</v>
      </c>
      <c r="C543" s="48" t="s">
        <v>21</v>
      </c>
      <c r="D543" s="48" t="s">
        <v>18</v>
      </c>
      <c r="E543" s="48" t="s">
        <v>21</v>
      </c>
      <c r="F543" s="48" t="s">
        <v>18</v>
      </c>
      <c r="G543" s="48" t="s">
        <v>22</v>
      </c>
      <c r="H543" s="48" t="s">
        <v>18</v>
      </c>
      <c r="I543" s="48" t="s">
        <v>23</v>
      </c>
      <c r="J543" s="48" t="s">
        <v>18</v>
      </c>
      <c r="K543" s="48" t="s">
        <v>18</v>
      </c>
      <c r="L543" s="48" t="s">
        <v>20</v>
      </c>
      <c r="M543" s="48" t="s">
        <v>19</v>
      </c>
      <c r="N543" s="48" t="s">
        <v>18</v>
      </c>
      <c r="O543" s="48" t="s">
        <v>21</v>
      </c>
      <c r="P543" s="48" t="s">
        <v>21</v>
      </c>
      <c r="Q543" s="48" t="s">
        <v>18</v>
      </c>
      <c r="R543" s="163" t="s">
        <v>140</v>
      </c>
      <c r="S543" s="49" t="s">
        <v>0</v>
      </c>
      <c r="T543" s="1">
        <f t="shared" ref="T543:Z543" si="153">398.8-22.7</f>
        <v>376.1</v>
      </c>
      <c r="U543" s="1">
        <f t="shared" si="153"/>
        <v>376.1</v>
      </c>
      <c r="V543" s="1">
        <f t="shared" si="153"/>
        <v>376.1</v>
      </c>
      <c r="W543" s="1">
        <f t="shared" si="153"/>
        <v>376.1</v>
      </c>
      <c r="X543" s="1">
        <f t="shared" si="153"/>
        <v>376.1</v>
      </c>
      <c r="Y543" s="1">
        <f t="shared" si="153"/>
        <v>376.1</v>
      </c>
      <c r="Z543" s="1">
        <f t="shared" si="153"/>
        <v>376.1</v>
      </c>
      <c r="AA543" s="53">
        <f t="shared" si="148"/>
        <v>2256.6</v>
      </c>
      <c r="AB543" s="37">
        <v>2023</v>
      </c>
      <c r="AC543" s="31"/>
    </row>
    <row r="544" spans="1:34" ht="31.5" x14ac:dyDescent="0.25">
      <c r="A544" s="48" t="s">
        <v>18</v>
      </c>
      <c r="B544" s="48" t="s">
        <v>18</v>
      </c>
      <c r="C544" s="48" t="s">
        <v>21</v>
      </c>
      <c r="D544" s="48" t="s">
        <v>18</v>
      </c>
      <c r="E544" s="48" t="s">
        <v>24</v>
      </c>
      <c r="F544" s="48" t="s">
        <v>18</v>
      </c>
      <c r="G544" s="48" t="s">
        <v>21</v>
      </c>
      <c r="H544" s="48" t="s">
        <v>19</v>
      </c>
      <c r="I544" s="48" t="s">
        <v>24</v>
      </c>
      <c r="J544" s="48" t="s">
        <v>18</v>
      </c>
      <c r="K544" s="48" t="s">
        <v>18</v>
      </c>
      <c r="L544" s="48" t="s">
        <v>22</v>
      </c>
      <c r="M544" s="48" t="s">
        <v>19</v>
      </c>
      <c r="N544" s="48" t="s">
        <v>18</v>
      </c>
      <c r="O544" s="48" t="s">
        <v>21</v>
      </c>
      <c r="P544" s="48" t="s">
        <v>21</v>
      </c>
      <c r="Q544" s="48" t="s">
        <v>18</v>
      </c>
      <c r="R544" s="163"/>
      <c r="S544" s="49" t="s">
        <v>0</v>
      </c>
      <c r="T544" s="1">
        <f t="shared" ref="T544" si="154">376.1+59.3</f>
        <v>435.40000000000003</v>
      </c>
      <c r="U544" s="1">
        <f>376.1+59.3+42-370.4</f>
        <v>107.00000000000006</v>
      </c>
      <c r="V544" s="1">
        <f>376.1+59.3+47.5-482.9</f>
        <v>0</v>
      </c>
      <c r="W544" s="1">
        <v>0</v>
      </c>
      <c r="X544" s="1">
        <v>0</v>
      </c>
      <c r="Y544" s="1">
        <v>0</v>
      </c>
      <c r="Z544" s="1">
        <v>0</v>
      </c>
      <c r="AA544" s="53">
        <f>SUM(T544:Z544)</f>
        <v>542.40000000000009</v>
      </c>
      <c r="AB544" s="52">
        <v>2019</v>
      </c>
      <c r="AC544" s="31"/>
    </row>
    <row r="545" spans="1:29" ht="31.5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69" t="s">
        <v>143</v>
      </c>
      <c r="S545" s="148" t="s">
        <v>48</v>
      </c>
      <c r="T545" s="2">
        <v>140</v>
      </c>
      <c r="U545" s="40">
        <v>31</v>
      </c>
      <c r="V545" s="2">
        <f>141-141</f>
        <v>0</v>
      </c>
      <c r="W545" s="2">
        <v>0</v>
      </c>
      <c r="X545" s="2">
        <v>0</v>
      </c>
      <c r="Y545" s="2">
        <v>0</v>
      </c>
      <c r="Z545" s="2">
        <v>0</v>
      </c>
      <c r="AA545" s="43">
        <f>SUM(T545:Z545)</f>
        <v>171</v>
      </c>
      <c r="AB545" s="37">
        <v>2019</v>
      </c>
      <c r="AC545" s="31"/>
    </row>
    <row r="546" spans="1:29" ht="35.25" hidden="1" customHeight="1" x14ac:dyDescent="0.25">
      <c r="A546" s="48" t="s">
        <v>18</v>
      </c>
      <c r="B546" s="48" t="s">
        <v>18</v>
      </c>
      <c r="C546" s="48" t="s">
        <v>25</v>
      </c>
      <c r="D546" s="48" t="s">
        <v>18</v>
      </c>
      <c r="E546" s="48" t="s">
        <v>21</v>
      </c>
      <c r="F546" s="48" t="s">
        <v>18</v>
      </c>
      <c r="G546" s="48" t="s">
        <v>22</v>
      </c>
      <c r="H546" s="48" t="s">
        <v>18</v>
      </c>
      <c r="I546" s="48" t="s">
        <v>23</v>
      </c>
      <c r="J546" s="48" t="s">
        <v>18</v>
      </c>
      <c r="K546" s="48" t="s">
        <v>18</v>
      </c>
      <c r="L546" s="48" t="s">
        <v>20</v>
      </c>
      <c r="M546" s="48" t="s">
        <v>19</v>
      </c>
      <c r="N546" s="48" t="s">
        <v>18</v>
      </c>
      <c r="O546" s="48" t="s">
        <v>21</v>
      </c>
      <c r="P546" s="48" t="s">
        <v>21</v>
      </c>
      <c r="Q546" s="48" t="s">
        <v>18</v>
      </c>
      <c r="R546" s="163" t="s">
        <v>140</v>
      </c>
      <c r="S546" s="49" t="s">
        <v>0</v>
      </c>
      <c r="T546" s="1">
        <f t="shared" ref="T546:Z546" si="155">214.1-12.2</f>
        <v>201.9</v>
      </c>
      <c r="U546" s="1">
        <f t="shared" si="155"/>
        <v>201.9</v>
      </c>
      <c r="V546" s="1">
        <f t="shared" si="155"/>
        <v>201.9</v>
      </c>
      <c r="W546" s="1">
        <f t="shared" si="155"/>
        <v>201.9</v>
      </c>
      <c r="X546" s="1">
        <f t="shared" si="155"/>
        <v>201.9</v>
      </c>
      <c r="Y546" s="1">
        <f t="shared" si="155"/>
        <v>201.9</v>
      </c>
      <c r="Z546" s="1">
        <f t="shared" si="155"/>
        <v>201.9</v>
      </c>
      <c r="AA546" s="53">
        <f t="shared" si="148"/>
        <v>1211.4000000000001</v>
      </c>
      <c r="AB546" s="37">
        <v>2023</v>
      </c>
    </row>
    <row r="547" spans="1:29" ht="31.5" x14ac:dyDescent="0.25">
      <c r="A547" s="48" t="s">
        <v>18</v>
      </c>
      <c r="B547" s="48" t="s">
        <v>18</v>
      </c>
      <c r="C547" s="48" t="s">
        <v>25</v>
      </c>
      <c r="D547" s="48" t="s">
        <v>18</v>
      </c>
      <c r="E547" s="48" t="s">
        <v>24</v>
      </c>
      <c r="F547" s="48" t="s">
        <v>18</v>
      </c>
      <c r="G547" s="48" t="s">
        <v>21</v>
      </c>
      <c r="H547" s="48" t="s">
        <v>19</v>
      </c>
      <c r="I547" s="48" t="s">
        <v>24</v>
      </c>
      <c r="J547" s="48" t="s">
        <v>18</v>
      </c>
      <c r="K547" s="48" t="s">
        <v>18</v>
      </c>
      <c r="L547" s="48" t="s">
        <v>22</v>
      </c>
      <c r="M547" s="48" t="s">
        <v>19</v>
      </c>
      <c r="N547" s="48" t="s">
        <v>18</v>
      </c>
      <c r="O547" s="48" t="s">
        <v>21</v>
      </c>
      <c r="P547" s="48" t="s">
        <v>21</v>
      </c>
      <c r="Q547" s="48" t="s">
        <v>18</v>
      </c>
      <c r="R547" s="163"/>
      <c r="S547" s="49" t="s">
        <v>0</v>
      </c>
      <c r="T547" s="1">
        <f>201.9+15.8</f>
        <v>217.70000000000002</v>
      </c>
      <c r="U547" s="1">
        <f>201.9+15.8+1.7+19.3-186.2</f>
        <v>52.500000000000028</v>
      </c>
      <c r="V547" s="1">
        <f>201.9+15.8+1.7+22.1-241.5</f>
        <v>0</v>
      </c>
      <c r="W547" s="1">
        <v>0</v>
      </c>
      <c r="X547" s="1">
        <v>0</v>
      </c>
      <c r="Y547" s="1">
        <v>0</v>
      </c>
      <c r="Z547" s="1">
        <v>0</v>
      </c>
      <c r="AA547" s="53">
        <f>SUM(T547:Z547)</f>
        <v>270.20000000000005</v>
      </c>
      <c r="AB547" s="52">
        <v>2019</v>
      </c>
      <c r="AC547" s="31"/>
    </row>
    <row r="548" spans="1:29" ht="49.5" hidden="1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67" t="s">
        <v>144</v>
      </c>
      <c r="S548" s="37" t="s">
        <v>8</v>
      </c>
      <c r="T548" s="2">
        <v>56</v>
      </c>
      <c r="U548" s="2">
        <v>56</v>
      </c>
      <c r="V548" s="2">
        <v>56</v>
      </c>
      <c r="W548" s="2">
        <v>56</v>
      </c>
      <c r="X548" s="2">
        <v>56</v>
      </c>
      <c r="Y548" s="2">
        <v>56</v>
      </c>
      <c r="Z548" s="2">
        <v>56</v>
      </c>
      <c r="AA548" s="43">
        <f>T548+U548+V548+W548+X548+Y548+Z548</f>
        <v>392</v>
      </c>
      <c r="AB548" s="37">
        <v>2024</v>
      </c>
    </row>
    <row r="549" spans="1:29" ht="64.5" hidden="1" customHeight="1" x14ac:dyDescent="0.25">
      <c r="A549" s="48" t="s">
        <v>18</v>
      </c>
      <c r="B549" s="48" t="s">
        <v>19</v>
      </c>
      <c r="C549" s="48" t="s">
        <v>24</v>
      </c>
      <c r="D549" s="48" t="s">
        <v>18</v>
      </c>
      <c r="E549" s="48" t="s">
        <v>21</v>
      </c>
      <c r="F549" s="48" t="s">
        <v>18</v>
      </c>
      <c r="G549" s="48" t="s">
        <v>22</v>
      </c>
      <c r="H549" s="48" t="s">
        <v>18</v>
      </c>
      <c r="I549" s="48" t="s">
        <v>23</v>
      </c>
      <c r="J549" s="48" t="s">
        <v>18</v>
      </c>
      <c r="K549" s="48" t="s">
        <v>18</v>
      </c>
      <c r="L549" s="48" t="s">
        <v>22</v>
      </c>
      <c r="M549" s="48" t="s">
        <v>18</v>
      </c>
      <c r="N549" s="48" t="s">
        <v>22</v>
      </c>
      <c r="O549" s="48" t="s">
        <v>22</v>
      </c>
      <c r="P549" s="48" t="s">
        <v>18</v>
      </c>
      <c r="Q549" s="48" t="s">
        <v>22</v>
      </c>
      <c r="R549" s="66" t="s">
        <v>145</v>
      </c>
      <c r="S549" s="49" t="s">
        <v>0</v>
      </c>
      <c r="T549" s="1"/>
      <c r="U549" s="1"/>
      <c r="V549" s="1"/>
      <c r="W549" s="1"/>
      <c r="X549" s="1"/>
      <c r="Y549" s="1"/>
      <c r="Z549" s="1"/>
      <c r="AA549" s="53">
        <f>T549+U549+V549+W549+X549+Y549</f>
        <v>0</v>
      </c>
      <c r="AB549" s="148">
        <v>2020</v>
      </c>
    </row>
    <row r="550" spans="1:29" ht="31.5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69" t="s">
        <v>144</v>
      </c>
      <c r="S550" s="148" t="s">
        <v>48</v>
      </c>
      <c r="T550" s="40">
        <v>70</v>
      </c>
      <c r="U550" s="40">
        <v>15</v>
      </c>
      <c r="V550" s="40">
        <f>68-68</f>
        <v>0</v>
      </c>
      <c r="W550" s="40">
        <v>0</v>
      </c>
      <c r="X550" s="40">
        <v>0</v>
      </c>
      <c r="Y550" s="40">
        <v>0</v>
      </c>
      <c r="Z550" s="40">
        <v>0</v>
      </c>
      <c r="AA550" s="41">
        <f t="shared" ref="AA550:AA555" si="156">SUM(T550:Z550)</f>
        <v>85</v>
      </c>
      <c r="AB550" s="37">
        <v>2019</v>
      </c>
      <c r="AC550" s="31"/>
    </row>
    <row r="551" spans="1:29" s="118" customFormat="1" ht="31.5" hidden="1" x14ac:dyDescent="0.25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156" t="s">
        <v>301</v>
      </c>
      <c r="S551" s="49" t="s">
        <v>0</v>
      </c>
      <c r="T551" s="1">
        <v>0</v>
      </c>
      <c r="U551" s="1">
        <f>U552+U553</f>
        <v>459.4</v>
      </c>
      <c r="V551" s="1">
        <v>0</v>
      </c>
      <c r="W551" s="1">
        <v>0</v>
      </c>
      <c r="X551" s="1">
        <v>0</v>
      </c>
      <c r="Y551" s="1">
        <v>0</v>
      </c>
      <c r="Z551" s="1">
        <v>0</v>
      </c>
      <c r="AA551" s="53">
        <f t="shared" si="156"/>
        <v>459.4</v>
      </c>
      <c r="AB551" s="49">
        <v>2019</v>
      </c>
      <c r="AC551" s="117"/>
    </row>
    <row r="552" spans="1:29" s="118" customFormat="1" ht="34.5" customHeight="1" x14ac:dyDescent="0.25">
      <c r="A552" s="48" t="s">
        <v>18</v>
      </c>
      <c r="B552" s="48" t="s">
        <v>19</v>
      </c>
      <c r="C552" s="48" t="s">
        <v>20</v>
      </c>
      <c r="D552" s="48" t="s">
        <v>18</v>
      </c>
      <c r="E552" s="48" t="s">
        <v>24</v>
      </c>
      <c r="F552" s="48" t="s">
        <v>18</v>
      </c>
      <c r="G552" s="48" t="s">
        <v>21</v>
      </c>
      <c r="H552" s="48" t="s">
        <v>19</v>
      </c>
      <c r="I552" s="48" t="s">
        <v>24</v>
      </c>
      <c r="J552" s="48" t="s">
        <v>18</v>
      </c>
      <c r="K552" s="48" t="s">
        <v>18</v>
      </c>
      <c r="L552" s="48" t="s">
        <v>22</v>
      </c>
      <c r="M552" s="48" t="s">
        <v>19</v>
      </c>
      <c r="N552" s="48" t="s">
        <v>18</v>
      </c>
      <c r="O552" s="48" t="s">
        <v>21</v>
      </c>
      <c r="P552" s="48" t="s">
        <v>21</v>
      </c>
      <c r="Q552" s="48" t="s">
        <v>18</v>
      </c>
      <c r="R552" s="156"/>
      <c r="S552" s="49" t="s">
        <v>0</v>
      </c>
      <c r="T552" s="1">
        <v>0</v>
      </c>
      <c r="U552" s="1">
        <v>459.4</v>
      </c>
      <c r="V552" s="1">
        <v>0</v>
      </c>
      <c r="W552" s="1">
        <v>0</v>
      </c>
      <c r="X552" s="1">
        <v>0</v>
      </c>
      <c r="Y552" s="1">
        <v>0</v>
      </c>
      <c r="Z552" s="1">
        <v>0</v>
      </c>
      <c r="AA552" s="53">
        <f t="shared" si="156"/>
        <v>459.4</v>
      </c>
      <c r="AB552" s="49">
        <v>2019</v>
      </c>
      <c r="AC552" s="117"/>
    </row>
    <row r="553" spans="1:29" s="118" customFormat="1" ht="31.5" hidden="1" x14ac:dyDescent="0.25">
      <c r="A553" s="48" t="s">
        <v>18</v>
      </c>
      <c r="B553" s="48" t="s">
        <v>19</v>
      </c>
      <c r="C553" s="48" t="s">
        <v>20</v>
      </c>
      <c r="D553" s="48" t="s">
        <v>18</v>
      </c>
      <c r="E553" s="48" t="s">
        <v>24</v>
      </c>
      <c r="F553" s="48" t="s">
        <v>18</v>
      </c>
      <c r="G553" s="48" t="s">
        <v>21</v>
      </c>
      <c r="H553" s="48" t="s">
        <v>19</v>
      </c>
      <c r="I553" s="48" t="s">
        <v>24</v>
      </c>
      <c r="J553" s="48" t="s">
        <v>18</v>
      </c>
      <c r="K553" s="48" t="s">
        <v>18</v>
      </c>
      <c r="L553" s="48" t="s">
        <v>22</v>
      </c>
      <c r="M553" s="48" t="s">
        <v>18</v>
      </c>
      <c r="N553" s="48" t="s">
        <v>18</v>
      </c>
      <c r="O553" s="48" t="s">
        <v>18</v>
      </c>
      <c r="P553" s="48" t="s">
        <v>18</v>
      </c>
      <c r="Q553" s="48" t="s">
        <v>18</v>
      </c>
      <c r="R553" s="156"/>
      <c r="S553" s="49" t="s">
        <v>0</v>
      </c>
      <c r="T553" s="1">
        <v>0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0</v>
      </c>
      <c r="AA553" s="53">
        <f t="shared" si="156"/>
        <v>0</v>
      </c>
      <c r="AB553" s="49">
        <v>2019</v>
      </c>
      <c r="AC553" s="117"/>
    </row>
    <row r="554" spans="1:29" s="62" customFormat="1" ht="47.25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 t="s">
        <v>285</v>
      </c>
      <c r="N554" s="36"/>
      <c r="O554" s="36"/>
      <c r="P554" s="36"/>
      <c r="Q554" s="36"/>
      <c r="R554" s="67" t="s">
        <v>284</v>
      </c>
      <c r="S554" s="37" t="s">
        <v>252</v>
      </c>
      <c r="T554" s="40">
        <v>0</v>
      </c>
      <c r="U554" s="40">
        <v>175</v>
      </c>
      <c r="V554" s="40">
        <v>0</v>
      </c>
      <c r="W554" s="40">
        <v>0</v>
      </c>
      <c r="X554" s="40">
        <v>0</v>
      </c>
      <c r="Y554" s="40">
        <v>0</v>
      </c>
      <c r="Z554" s="40">
        <v>0</v>
      </c>
      <c r="AA554" s="43">
        <f t="shared" si="156"/>
        <v>175</v>
      </c>
      <c r="AB554" s="37">
        <v>2019</v>
      </c>
      <c r="AC554" s="98"/>
    </row>
    <row r="555" spans="1:29" s="62" customFormat="1" ht="31.5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67" t="s">
        <v>267</v>
      </c>
      <c r="S555" s="37" t="s">
        <v>48</v>
      </c>
      <c r="T555" s="40">
        <v>0</v>
      </c>
      <c r="U555" s="40">
        <v>347</v>
      </c>
      <c r="V555" s="40">
        <v>0</v>
      </c>
      <c r="W555" s="40">
        <v>0</v>
      </c>
      <c r="X555" s="40">
        <v>0</v>
      </c>
      <c r="Y555" s="40">
        <v>0</v>
      </c>
      <c r="Z555" s="40">
        <v>0</v>
      </c>
      <c r="AA555" s="43">
        <f t="shared" si="156"/>
        <v>347</v>
      </c>
      <c r="AB555" s="37">
        <v>2019</v>
      </c>
      <c r="AC555" s="98"/>
    </row>
    <row r="556" spans="1:29" ht="47.25" x14ac:dyDescent="0.25">
      <c r="A556" s="48"/>
      <c r="B556" s="48"/>
      <c r="C556" s="48"/>
      <c r="D556" s="48" t="s">
        <v>18</v>
      </c>
      <c r="E556" s="48" t="s">
        <v>21</v>
      </c>
      <c r="F556" s="48" t="s">
        <v>18</v>
      </c>
      <c r="G556" s="48" t="s">
        <v>22</v>
      </c>
      <c r="H556" s="48" t="s">
        <v>19</v>
      </c>
      <c r="I556" s="48" t="s">
        <v>24</v>
      </c>
      <c r="J556" s="48" t="s">
        <v>18</v>
      </c>
      <c r="K556" s="48" t="s">
        <v>18</v>
      </c>
      <c r="L556" s="48" t="s">
        <v>22</v>
      </c>
      <c r="M556" s="48" t="s">
        <v>42</v>
      </c>
      <c r="N556" s="48" t="s">
        <v>42</v>
      </c>
      <c r="O556" s="48" t="s">
        <v>42</v>
      </c>
      <c r="P556" s="48" t="s">
        <v>42</v>
      </c>
      <c r="Q556" s="48" t="s">
        <v>42</v>
      </c>
      <c r="R556" s="66" t="s">
        <v>146</v>
      </c>
      <c r="S556" s="52" t="s">
        <v>0</v>
      </c>
      <c r="T556" s="53">
        <f t="shared" ref="T556:Y557" si="157">T558+T560+T562+T564</f>
        <v>69.999999999999986</v>
      </c>
      <c r="U556" s="53">
        <f t="shared" si="157"/>
        <v>25.8</v>
      </c>
      <c r="V556" s="53">
        <f t="shared" si="157"/>
        <v>57.699999999999996</v>
      </c>
      <c r="W556" s="53">
        <f t="shared" si="157"/>
        <v>0</v>
      </c>
      <c r="X556" s="53">
        <f t="shared" si="157"/>
        <v>0</v>
      </c>
      <c r="Y556" s="53">
        <f t="shared" si="157"/>
        <v>0</v>
      </c>
      <c r="Z556" s="53">
        <f t="shared" ref="Z556" si="158">Z558+Z560+Z562+Z564</f>
        <v>0</v>
      </c>
      <c r="AA556" s="53">
        <f>AA558+AA560+AA562+AA564</f>
        <v>153.5</v>
      </c>
      <c r="AB556" s="52">
        <v>2020</v>
      </c>
      <c r="AC556" s="107"/>
    </row>
    <row r="557" spans="1:29" ht="45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69" t="s">
        <v>147</v>
      </c>
      <c r="S557" s="148" t="s">
        <v>37</v>
      </c>
      <c r="T557" s="40">
        <f t="shared" si="157"/>
        <v>27</v>
      </c>
      <c r="U557" s="40">
        <f t="shared" si="157"/>
        <v>4</v>
      </c>
      <c r="V557" s="40">
        <f t="shared" si="157"/>
        <v>16</v>
      </c>
      <c r="W557" s="40">
        <f t="shared" si="157"/>
        <v>0</v>
      </c>
      <c r="X557" s="40">
        <f t="shared" si="157"/>
        <v>0</v>
      </c>
      <c r="Y557" s="40">
        <f t="shared" si="157"/>
        <v>0</v>
      </c>
      <c r="Z557" s="40">
        <f>Z559+Z561+Z563+Z565</f>
        <v>0</v>
      </c>
      <c r="AA557" s="43">
        <f>T557+U557+V557+W557+X557+Y557+Z557</f>
        <v>47</v>
      </c>
      <c r="AB557" s="37">
        <v>2020</v>
      </c>
      <c r="AC557" s="31"/>
    </row>
    <row r="558" spans="1:29" ht="47.25" x14ac:dyDescent="0.25">
      <c r="A558" s="48" t="s">
        <v>18</v>
      </c>
      <c r="B558" s="48" t="s">
        <v>18</v>
      </c>
      <c r="C558" s="48" t="s">
        <v>22</v>
      </c>
      <c r="D558" s="48" t="s">
        <v>18</v>
      </c>
      <c r="E558" s="48" t="s">
        <v>21</v>
      </c>
      <c r="F558" s="48" t="s">
        <v>18</v>
      </c>
      <c r="G558" s="48" t="s">
        <v>22</v>
      </c>
      <c r="H558" s="48" t="s">
        <v>19</v>
      </c>
      <c r="I558" s="48" t="s">
        <v>24</v>
      </c>
      <c r="J558" s="48" t="s">
        <v>18</v>
      </c>
      <c r="K558" s="48" t="s">
        <v>18</v>
      </c>
      <c r="L558" s="48" t="s">
        <v>22</v>
      </c>
      <c r="M558" s="48" t="s">
        <v>42</v>
      </c>
      <c r="N558" s="48" t="s">
        <v>42</v>
      </c>
      <c r="O558" s="48" t="s">
        <v>42</v>
      </c>
      <c r="P558" s="48" t="s">
        <v>42</v>
      </c>
      <c r="Q558" s="48" t="s">
        <v>42</v>
      </c>
      <c r="R558" s="66" t="s">
        <v>148</v>
      </c>
      <c r="S558" s="49" t="s">
        <v>0</v>
      </c>
      <c r="T558" s="1">
        <f>18.2-1.8-10.9</f>
        <v>5.4999999999999982</v>
      </c>
      <c r="U558" s="1">
        <v>18.2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53">
        <f t="shared" ref="AA558:AA565" si="159">T558+U558+V558+W558+X558+Y558+Z558</f>
        <v>23.699999999999996</v>
      </c>
      <c r="AB558" s="52">
        <v>2019</v>
      </c>
      <c r="AC558" s="107"/>
    </row>
    <row r="559" spans="1:29" ht="47.2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69" t="s">
        <v>149</v>
      </c>
      <c r="S559" s="148" t="s">
        <v>37</v>
      </c>
      <c r="T559" s="71">
        <v>2</v>
      </c>
      <c r="U559" s="71">
        <v>2</v>
      </c>
      <c r="V559" s="71">
        <v>0</v>
      </c>
      <c r="W559" s="71">
        <v>0</v>
      </c>
      <c r="X559" s="71">
        <v>0</v>
      </c>
      <c r="Y559" s="71">
        <v>0</v>
      </c>
      <c r="Z559" s="71">
        <v>0</v>
      </c>
      <c r="AA559" s="85">
        <f t="shared" si="159"/>
        <v>4</v>
      </c>
      <c r="AB559" s="37">
        <v>2019</v>
      </c>
      <c r="AC559" s="31"/>
    </row>
    <row r="560" spans="1:29" ht="47.25" x14ac:dyDescent="0.25">
      <c r="A560" s="48" t="s">
        <v>18</v>
      </c>
      <c r="B560" s="48" t="s">
        <v>18</v>
      </c>
      <c r="C560" s="48" t="s">
        <v>24</v>
      </c>
      <c r="D560" s="48" t="s">
        <v>18</v>
      </c>
      <c r="E560" s="48" t="s">
        <v>21</v>
      </c>
      <c r="F560" s="48" t="s">
        <v>18</v>
      </c>
      <c r="G560" s="48" t="s">
        <v>22</v>
      </c>
      <c r="H560" s="48" t="s">
        <v>19</v>
      </c>
      <c r="I560" s="48" t="s">
        <v>24</v>
      </c>
      <c r="J560" s="48" t="s">
        <v>18</v>
      </c>
      <c r="K560" s="48" t="s">
        <v>18</v>
      </c>
      <c r="L560" s="48" t="s">
        <v>22</v>
      </c>
      <c r="M560" s="48" t="s">
        <v>42</v>
      </c>
      <c r="N560" s="48" t="s">
        <v>42</v>
      </c>
      <c r="O560" s="48" t="s">
        <v>42</v>
      </c>
      <c r="P560" s="48" t="s">
        <v>42</v>
      </c>
      <c r="Q560" s="48" t="s">
        <v>42</v>
      </c>
      <c r="R560" s="66" t="s">
        <v>148</v>
      </c>
      <c r="S560" s="49" t="s">
        <v>0</v>
      </c>
      <c r="T560" s="1">
        <f>72.8-43.1</f>
        <v>29.699999999999996</v>
      </c>
      <c r="U560" s="1">
        <f>31.8-31.8</f>
        <v>0</v>
      </c>
      <c r="V560" s="1">
        <v>31.8</v>
      </c>
      <c r="W560" s="1">
        <v>0</v>
      </c>
      <c r="X560" s="1">
        <v>0</v>
      </c>
      <c r="Y560" s="1">
        <v>0</v>
      </c>
      <c r="Z560" s="1">
        <v>0</v>
      </c>
      <c r="AA560" s="53">
        <f t="shared" si="159"/>
        <v>61.5</v>
      </c>
      <c r="AB560" s="52">
        <v>2020</v>
      </c>
      <c r="AC560" s="107"/>
    </row>
    <row r="561" spans="1:33" ht="47.2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69" t="s">
        <v>150</v>
      </c>
      <c r="S561" s="148" t="s">
        <v>37</v>
      </c>
      <c r="T561" s="71">
        <v>10</v>
      </c>
      <c r="U561" s="71">
        <v>0</v>
      </c>
      <c r="V561" s="71">
        <v>10</v>
      </c>
      <c r="W561" s="71">
        <v>0</v>
      </c>
      <c r="X561" s="71">
        <v>0</v>
      </c>
      <c r="Y561" s="71">
        <v>0</v>
      </c>
      <c r="Z561" s="71">
        <v>0</v>
      </c>
      <c r="AA561" s="85">
        <f t="shared" si="159"/>
        <v>20</v>
      </c>
      <c r="AB561" s="37">
        <v>2020</v>
      </c>
      <c r="AC561" s="31"/>
    </row>
    <row r="562" spans="1:33" ht="47.25" x14ac:dyDescent="0.25">
      <c r="A562" s="48" t="s">
        <v>18</v>
      </c>
      <c r="B562" s="48" t="s">
        <v>18</v>
      </c>
      <c r="C562" s="48" t="s">
        <v>21</v>
      </c>
      <c r="D562" s="48" t="s">
        <v>18</v>
      </c>
      <c r="E562" s="48" t="s">
        <v>21</v>
      </c>
      <c r="F562" s="48" t="s">
        <v>18</v>
      </c>
      <c r="G562" s="48" t="s">
        <v>22</v>
      </c>
      <c r="H562" s="48" t="s">
        <v>19</v>
      </c>
      <c r="I562" s="48" t="s">
        <v>24</v>
      </c>
      <c r="J562" s="48" t="s">
        <v>18</v>
      </c>
      <c r="K562" s="48" t="s">
        <v>18</v>
      </c>
      <c r="L562" s="48" t="s">
        <v>22</v>
      </c>
      <c r="M562" s="48" t="s">
        <v>42</v>
      </c>
      <c r="N562" s="48" t="s">
        <v>42</v>
      </c>
      <c r="O562" s="48" t="s">
        <v>42</v>
      </c>
      <c r="P562" s="48" t="s">
        <v>42</v>
      </c>
      <c r="Q562" s="48" t="s">
        <v>42</v>
      </c>
      <c r="R562" s="66" t="s">
        <v>151</v>
      </c>
      <c r="S562" s="49" t="s">
        <v>0</v>
      </c>
      <c r="T562" s="56">
        <f>36.4-4.4</f>
        <v>32</v>
      </c>
      <c r="U562" s="56">
        <f>34.6-34.6</f>
        <v>0</v>
      </c>
      <c r="V562" s="56">
        <f>31.8-22.8</f>
        <v>9</v>
      </c>
      <c r="W562" s="1">
        <v>0</v>
      </c>
      <c r="X562" s="1">
        <v>0</v>
      </c>
      <c r="Y562" s="1">
        <v>0</v>
      </c>
      <c r="Z562" s="1">
        <v>0</v>
      </c>
      <c r="AA562" s="53">
        <f t="shared" si="159"/>
        <v>41</v>
      </c>
      <c r="AB562" s="52">
        <v>2020</v>
      </c>
      <c r="AC562" s="106"/>
      <c r="AD562" s="89"/>
    </row>
    <row r="563" spans="1:33" ht="47.2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69" t="s">
        <v>152</v>
      </c>
      <c r="S563" s="148" t="s">
        <v>37</v>
      </c>
      <c r="T563" s="71">
        <v>14</v>
      </c>
      <c r="U563" s="71">
        <v>0</v>
      </c>
      <c r="V563" s="71">
        <v>2</v>
      </c>
      <c r="W563" s="71">
        <v>0</v>
      </c>
      <c r="X563" s="71">
        <v>0</v>
      </c>
      <c r="Y563" s="71">
        <v>0</v>
      </c>
      <c r="Z563" s="71">
        <v>0</v>
      </c>
      <c r="AA563" s="86">
        <f t="shared" si="159"/>
        <v>16</v>
      </c>
      <c r="AB563" s="37">
        <v>2020</v>
      </c>
      <c r="AC563" s="31"/>
    </row>
    <row r="564" spans="1:33" ht="47.25" x14ac:dyDescent="0.25">
      <c r="A564" s="48" t="s">
        <v>18</v>
      </c>
      <c r="B564" s="48" t="s">
        <v>18</v>
      </c>
      <c r="C564" s="48" t="s">
        <v>25</v>
      </c>
      <c r="D564" s="48" t="s">
        <v>18</v>
      </c>
      <c r="E564" s="48" t="s">
        <v>21</v>
      </c>
      <c r="F564" s="48" t="s">
        <v>18</v>
      </c>
      <c r="G564" s="48" t="s">
        <v>22</v>
      </c>
      <c r="H564" s="48" t="s">
        <v>19</v>
      </c>
      <c r="I564" s="48" t="s">
        <v>24</v>
      </c>
      <c r="J564" s="48" t="s">
        <v>18</v>
      </c>
      <c r="K564" s="48" t="s">
        <v>18</v>
      </c>
      <c r="L564" s="48" t="s">
        <v>22</v>
      </c>
      <c r="M564" s="48" t="s">
        <v>42</v>
      </c>
      <c r="N564" s="48" t="s">
        <v>42</v>
      </c>
      <c r="O564" s="48" t="s">
        <v>42</v>
      </c>
      <c r="P564" s="48" t="s">
        <v>42</v>
      </c>
      <c r="Q564" s="48" t="s">
        <v>42</v>
      </c>
      <c r="R564" s="66" t="s">
        <v>148</v>
      </c>
      <c r="S564" s="49" t="s">
        <v>0</v>
      </c>
      <c r="T564" s="1">
        <f>35-32.2</f>
        <v>2.7999999999999972</v>
      </c>
      <c r="U564" s="1">
        <f>35-27.4</f>
        <v>7.6000000000000014</v>
      </c>
      <c r="V564" s="1">
        <f>35-18.1</f>
        <v>16.899999999999999</v>
      </c>
      <c r="W564" s="1">
        <v>0</v>
      </c>
      <c r="X564" s="1">
        <v>0</v>
      </c>
      <c r="Y564" s="1">
        <v>0</v>
      </c>
      <c r="Z564" s="1">
        <v>0</v>
      </c>
      <c r="AA564" s="53">
        <f t="shared" si="159"/>
        <v>27.299999999999997</v>
      </c>
      <c r="AB564" s="52">
        <v>2020</v>
      </c>
      <c r="AC564" s="31"/>
    </row>
    <row r="565" spans="1:33" ht="47.25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69" t="s">
        <v>153</v>
      </c>
      <c r="S565" s="148" t="s">
        <v>37</v>
      </c>
      <c r="T565" s="37">
        <v>1</v>
      </c>
      <c r="U565" s="37">
        <v>2</v>
      </c>
      <c r="V565" s="37">
        <v>4</v>
      </c>
      <c r="W565" s="71">
        <v>0</v>
      </c>
      <c r="X565" s="71">
        <v>0</v>
      </c>
      <c r="Y565" s="71">
        <v>0</v>
      </c>
      <c r="Z565" s="71">
        <v>0</v>
      </c>
      <c r="AA565" s="43">
        <f t="shared" si="159"/>
        <v>7</v>
      </c>
      <c r="AB565" s="37">
        <v>2020</v>
      </c>
      <c r="AC565" s="31"/>
    </row>
    <row r="566" spans="1:33" ht="31.5" hidden="1" x14ac:dyDescent="0.25">
      <c r="A566" s="48" t="s">
        <v>18</v>
      </c>
      <c r="B566" s="48" t="s">
        <v>19</v>
      </c>
      <c r="C566" s="48" t="s">
        <v>20</v>
      </c>
      <c r="D566" s="48" t="s">
        <v>18</v>
      </c>
      <c r="E566" s="48" t="s">
        <v>24</v>
      </c>
      <c r="F566" s="48" t="s">
        <v>18</v>
      </c>
      <c r="G566" s="48" t="s">
        <v>21</v>
      </c>
      <c r="H566" s="48" t="s">
        <v>19</v>
      </c>
      <c r="I566" s="48" t="s">
        <v>24</v>
      </c>
      <c r="J566" s="48" t="s">
        <v>18</v>
      </c>
      <c r="K566" s="48" t="s">
        <v>18</v>
      </c>
      <c r="L566" s="48" t="s">
        <v>22</v>
      </c>
      <c r="M566" s="48" t="s">
        <v>18</v>
      </c>
      <c r="N566" s="48" t="s">
        <v>18</v>
      </c>
      <c r="O566" s="48" t="s">
        <v>18</v>
      </c>
      <c r="P566" s="48" t="s">
        <v>18</v>
      </c>
      <c r="Q566" s="48" t="s">
        <v>18</v>
      </c>
      <c r="R566" s="146" t="s">
        <v>268</v>
      </c>
      <c r="S566" s="52" t="s">
        <v>0</v>
      </c>
      <c r="T566" s="53">
        <v>0</v>
      </c>
      <c r="U566" s="53">
        <v>0</v>
      </c>
      <c r="V566" s="53">
        <v>0</v>
      </c>
      <c r="W566" s="1">
        <v>0</v>
      </c>
      <c r="X566" s="53">
        <v>0</v>
      </c>
      <c r="Y566" s="53">
        <v>0</v>
      </c>
      <c r="Z566" s="53">
        <v>0</v>
      </c>
      <c r="AA566" s="53">
        <f>T566+U566+V566+W566+X566+Y566</f>
        <v>0</v>
      </c>
      <c r="AB566" s="52">
        <v>2019</v>
      </c>
      <c r="AC566" s="31"/>
    </row>
    <row r="567" spans="1:33" ht="31.5" hidden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69" t="s">
        <v>161</v>
      </c>
      <c r="S567" s="148" t="s">
        <v>37</v>
      </c>
      <c r="T567" s="37">
        <v>0</v>
      </c>
      <c r="U567" s="37">
        <v>1</v>
      </c>
      <c r="V567" s="37">
        <v>0</v>
      </c>
      <c r="W567" s="71">
        <v>0</v>
      </c>
      <c r="X567" s="37">
        <v>0</v>
      </c>
      <c r="Y567" s="37">
        <v>0</v>
      </c>
      <c r="Z567" s="37">
        <v>0</v>
      </c>
      <c r="AA567" s="43">
        <v>1</v>
      </c>
      <c r="AB567" s="37">
        <v>2019</v>
      </c>
      <c r="AC567" s="31"/>
    </row>
    <row r="568" spans="1:33" ht="63" hidden="1" x14ac:dyDescent="0.25">
      <c r="A568" s="48" t="s">
        <v>18</v>
      </c>
      <c r="B568" s="48" t="s">
        <v>19</v>
      </c>
      <c r="C568" s="48" t="s">
        <v>20</v>
      </c>
      <c r="D568" s="48" t="s">
        <v>18</v>
      </c>
      <c r="E568" s="48" t="s">
        <v>24</v>
      </c>
      <c r="F568" s="48" t="s">
        <v>18</v>
      </c>
      <c r="G568" s="48" t="s">
        <v>21</v>
      </c>
      <c r="H568" s="48" t="s">
        <v>19</v>
      </c>
      <c r="I568" s="48" t="s">
        <v>24</v>
      </c>
      <c r="J568" s="48" t="s">
        <v>18</v>
      </c>
      <c r="K568" s="48" t="s">
        <v>18</v>
      </c>
      <c r="L568" s="48" t="s">
        <v>22</v>
      </c>
      <c r="M568" s="48" t="s">
        <v>18</v>
      </c>
      <c r="N568" s="48" t="s">
        <v>18</v>
      </c>
      <c r="O568" s="48" t="s">
        <v>18</v>
      </c>
      <c r="P568" s="48" t="s">
        <v>18</v>
      </c>
      <c r="Q568" s="48" t="s">
        <v>18</v>
      </c>
      <c r="R568" s="146" t="s">
        <v>269</v>
      </c>
      <c r="S568" s="52" t="s">
        <v>0</v>
      </c>
      <c r="T568" s="53">
        <v>0</v>
      </c>
      <c r="U568" s="53">
        <v>0</v>
      </c>
      <c r="V568" s="53">
        <v>0</v>
      </c>
      <c r="W568" s="1">
        <v>0</v>
      </c>
      <c r="X568" s="53">
        <v>0</v>
      </c>
      <c r="Y568" s="53">
        <v>0</v>
      </c>
      <c r="Z568" s="53">
        <v>0</v>
      </c>
      <c r="AA568" s="53">
        <f>T568+U568+V568+W568+X568+Y568</f>
        <v>0</v>
      </c>
      <c r="AB568" s="52">
        <v>2019</v>
      </c>
      <c r="AC568" s="31"/>
    </row>
    <row r="569" spans="1:33" s="62" customFormat="1" ht="8.25" hidden="1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67" t="s">
        <v>270</v>
      </c>
      <c r="S569" s="37" t="s">
        <v>37</v>
      </c>
      <c r="T569" s="37">
        <v>0</v>
      </c>
      <c r="U569" s="37">
        <v>1</v>
      </c>
      <c r="V569" s="37">
        <v>0</v>
      </c>
      <c r="W569" s="71">
        <v>0</v>
      </c>
      <c r="X569" s="37">
        <v>0</v>
      </c>
      <c r="Y569" s="37">
        <v>0</v>
      </c>
      <c r="Z569" s="37">
        <v>0</v>
      </c>
      <c r="AA569" s="43">
        <f>U569</f>
        <v>1</v>
      </c>
      <c r="AB569" s="37">
        <v>2019</v>
      </c>
      <c r="AC569" s="98"/>
    </row>
    <row r="570" spans="1:33" ht="65.25" customHeight="1" x14ac:dyDescent="0.25">
      <c r="A570" s="48" t="s">
        <v>18</v>
      </c>
      <c r="B570" s="48" t="s">
        <v>19</v>
      </c>
      <c r="C570" s="48" t="s">
        <v>20</v>
      </c>
      <c r="D570" s="48" t="s">
        <v>18</v>
      </c>
      <c r="E570" s="48" t="s">
        <v>24</v>
      </c>
      <c r="F570" s="48" t="s">
        <v>18</v>
      </c>
      <c r="G570" s="48" t="s">
        <v>21</v>
      </c>
      <c r="H570" s="48" t="s">
        <v>19</v>
      </c>
      <c r="I570" s="48" t="s">
        <v>24</v>
      </c>
      <c r="J570" s="48" t="s">
        <v>18</v>
      </c>
      <c r="K570" s="48" t="s">
        <v>18</v>
      </c>
      <c r="L570" s="48" t="s">
        <v>22</v>
      </c>
      <c r="M570" s="48" t="s">
        <v>19</v>
      </c>
      <c r="N570" s="48" t="s">
        <v>18</v>
      </c>
      <c r="O570" s="48" t="s">
        <v>21</v>
      </c>
      <c r="P570" s="48" t="s">
        <v>21</v>
      </c>
      <c r="Q570" s="48" t="s">
        <v>18</v>
      </c>
      <c r="R570" s="146" t="s">
        <v>281</v>
      </c>
      <c r="S570" s="52" t="s">
        <v>0</v>
      </c>
      <c r="T570" s="53">
        <v>0</v>
      </c>
      <c r="U570" s="53">
        <v>731.8</v>
      </c>
      <c r="V570" s="53">
        <v>0</v>
      </c>
      <c r="W570" s="53">
        <v>0</v>
      </c>
      <c r="X570" s="53">
        <v>0</v>
      </c>
      <c r="Y570" s="53">
        <v>0</v>
      </c>
      <c r="Z570" s="53">
        <v>0</v>
      </c>
      <c r="AA570" s="53">
        <f>T570+U570+V570+W570+X570+Y570</f>
        <v>731.8</v>
      </c>
      <c r="AB570" s="52">
        <v>2019</v>
      </c>
    </row>
    <row r="571" spans="1:33" s="62" customFormat="1" ht="31.5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67" t="s">
        <v>271</v>
      </c>
      <c r="S571" s="37" t="s">
        <v>48</v>
      </c>
      <c r="T571" s="40">
        <v>0</v>
      </c>
      <c r="U571" s="40">
        <v>347</v>
      </c>
      <c r="V571" s="40">
        <v>0</v>
      </c>
      <c r="W571" s="40">
        <v>0</v>
      </c>
      <c r="X571" s="40">
        <v>0</v>
      </c>
      <c r="Y571" s="40">
        <v>0</v>
      </c>
      <c r="Z571" s="40">
        <v>0</v>
      </c>
      <c r="AA571" s="43">
        <f>U571</f>
        <v>347</v>
      </c>
      <c r="AB571" s="63">
        <v>2019</v>
      </c>
      <c r="AC571" s="98"/>
    </row>
    <row r="572" spans="1:33" ht="31.5" x14ac:dyDescent="0.25">
      <c r="A572" s="42"/>
      <c r="B572" s="42"/>
      <c r="C572" s="42"/>
      <c r="D572" s="42"/>
      <c r="E572" s="42"/>
      <c r="F572" s="42"/>
      <c r="G572" s="42"/>
      <c r="H572" s="42" t="s">
        <v>19</v>
      </c>
      <c r="I572" s="42" t="s">
        <v>24</v>
      </c>
      <c r="J572" s="42" t="s">
        <v>18</v>
      </c>
      <c r="K572" s="42" t="s">
        <v>18</v>
      </c>
      <c r="L572" s="42" t="s">
        <v>24</v>
      </c>
      <c r="M572" s="42" t="s">
        <v>18</v>
      </c>
      <c r="N572" s="42" t="s">
        <v>18</v>
      </c>
      <c r="O572" s="42" t="s">
        <v>18</v>
      </c>
      <c r="P572" s="42" t="s">
        <v>18</v>
      </c>
      <c r="Q572" s="42" t="s">
        <v>18</v>
      </c>
      <c r="R572" s="64" t="s">
        <v>52</v>
      </c>
      <c r="S572" s="127" t="s">
        <v>0</v>
      </c>
      <c r="T572" s="126">
        <f t="shared" ref="T572:X572" si="160">T574+T590+T583</f>
        <v>25348.3</v>
      </c>
      <c r="U572" s="126">
        <f t="shared" si="160"/>
        <v>35592.6</v>
      </c>
      <c r="V572" s="126">
        <f t="shared" si="160"/>
        <v>25348.3</v>
      </c>
      <c r="W572" s="126">
        <f t="shared" si="160"/>
        <v>26934.5</v>
      </c>
      <c r="X572" s="126">
        <f t="shared" si="160"/>
        <v>29982.600000000002</v>
      </c>
      <c r="Y572" s="126">
        <f>Y574+Y590+Y583+Y596</f>
        <v>35681.700000000004</v>
      </c>
      <c r="Z572" s="126">
        <f>Z574+Z590+Z583+Z596</f>
        <v>47069.5</v>
      </c>
      <c r="AA572" s="126">
        <f>SUM(T572:Z572)</f>
        <v>225957.5</v>
      </c>
      <c r="AB572" s="127">
        <v>2024</v>
      </c>
    </row>
    <row r="573" spans="1:33" ht="31.5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80" t="s">
        <v>154</v>
      </c>
      <c r="S573" s="148" t="s">
        <v>50</v>
      </c>
      <c r="T573" s="124">
        <f>T578</f>
        <v>2225</v>
      </c>
      <c r="U573" s="124">
        <f t="shared" ref="U573:AA573" si="161">U578</f>
        <v>2224</v>
      </c>
      <c r="V573" s="124">
        <f t="shared" si="161"/>
        <v>2224</v>
      </c>
      <c r="W573" s="124">
        <f t="shared" si="161"/>
        <v>2224</v>
      </c>
      <c r="X573" s="124">
        <f t="shared" si="161"/>
        <v>2225</v>
      </c>
      <c r="Y573" s="124">
        <f t="shared" si="161"/>
        <v>2225</v>
      </c>
      <c r="Z573" s="124">
        <f t="shared" si="161"/>
        <v>2225</v>
      </c>
      <c r="AA573" s="143">
        <f t="shared" si="161"/>
        <v>2225</v>
      </c>
      <c r="AB573" s="37">
        <v>2024</v>
      </c>
      <c r="AD573" s="10"/>
      <c r="AE573" s="10"/>
      <c r="AF573" s="10"/>
      <c r="AG573" s="10"/>
    </row>
    <row r="574" spans="1:33" ht="15.75" customHeight="1" x14ac:dyDescent="0.25">
      <c r="A574" s="48"/>
      <c r="B574" s="48"/>
      <c r="C574" s="48"/>
      <c r="D574" s="48" t="s">
        <v>18</v>
      </c>
      <c r="E574" s="48" t="s">
        <v>21</v>
      </c>
      <c r="F574" s="48" t="s">
        <v>18</v>
      </c>
      <c r="G574" s="48" t="s">
        <v>22</v>
      </c>
      <c r="H574" s="48" t="s">
        <v>19</v>
      </c>
      <c r="I574" s="48" t="s">
        <v>24</v>
      </c>
      <c r="J574" s="48" t="s">
        <v>18</v>
      </c>
      <c r="K574" s="48" t="s">
        <v>18</v>
      </c>
      <c r="L574" s="48" t="s">
        <v>24</v>
      </c>
      <c r="M574" s="48" t="s">
        <v>42</v>
      </c>
      <c r="N574" s="48" t="s">
        <v>42</v>
      </c>
      <c r="O574" s="48" t="s">
        <v>42</v>
      </c>
      <c r="P574" s="48" t="s">
        <v>42</v>
      </c>
      <c r="Q574" s="48" t="s">
        <v>42</v>
      </c>
      <c r="R574" s="153" t="s">
        <v>155</v>
      </c>
      <c r="S574" s="150" t="s">
        <v>0</v>
      </c>
      <c r="T574" s="53">
        <f>SUM(T575:T577)</f>
        <v>25348.3</v>
      </c>
      <c r="U574" s="53">
        <f t="shared" ref="U574:Z574" si="162">SUM(U575:U577)</f>
        <v>24911.8</v>
      </c>
      <c r="V574" s="53">
        <f t="shared" si="162"/>
        <v>25348.3</v>
      </c>
      <c r="W574" s="53">
        <f t="shared" si="162"/>
        <v>22802.2</v>
      </c>
      <c r="X574" s="53">
        <f t="shared" si="162"/>
        <v>28227.600000000002</v>
      </c>
      <c r="Y574" s="53">
        <f t="shared" si="162"/>
        <v>25660.400000000001</v>
      </c>
      <c r="Z574" s="53">
        <f t="shared" si="162"/>
        <v>25660.400000000001</v>
      </c>
      <c r="AA574" s="53">
        <f>SUM(T574:Z574)</f>
        <v>177959</v>
      </c>
      <c r="AB574" s="52">
        <v>2024</v>
      </c>
      <c r="AC574" s="31"/>
    </row>
    <row r="575" spans="1:33" x14ac:dyDescent="0.25">
      <c r="A575" s="48" t="s">
        <v>18</v>
      </c>
      <c r="B575" s="48" t="s">
        <v>19</v>
      </c>
      <c r="C575" s="48" t="s">
        <v>20</v>
      </c>
      <c r="D575" s="48" t="s">
        <v>18</v>
      </c>
      <c r="E575" s="48" t="s">
        <v>21</v>
      </c>
      <c r="F575" s="48" t="s">
        <v>18</v>
      </c>
      <c r="G575" s="48" t="s">
        <v>22</v>
      </c>
      <c r="H575" s="48" t="s">
        <v>19</v>
      </c>
      <c r="I575" s="48" t="s">
        <v>24</v>
      </c>
      <c r="J575" s="48" t="s">
        <v>18</v>
      </c>
      <c r="K575" s="48" t="s">
        <v>18</v>
      </c>
      <c r="L575" s="48" t="s">
        <v>24</v>
      </c>
      <c r="M575" s="48" t="s">
        <v>42</v>
      </c>
      <c r="N575" s="48" t="s">
        <v>42</v>
      </c>
      <c r="O575" s="48" t="s">
        <v>42</v>
      </c>
      <c r="P575" s="48" t="s">
        <v>42</v>
      </c>
      <c r="Q575" s="48" t="s">
        <v>42</v>
      </c>
      <c r="R575" s="154"/>
      <c r="S575" s="151"/>
      <c r="T575" s="1">
        <v>25348.3</v>
      </c>
      <c r="U575" s="1">
        <v>24911.8</v>
      </c>
      <c r="V575" s="1">
        <v>0</v>
      </c>
      <c r="W575" s="1">
        <v>0</v>
      </c>
      <c r="X575" s="1">
        <v>0</v>
      </c>
      <c r="Y575" s="1">
        <v>0</v>
      </c>
      <c r="Z575" s="1">
        <v>0</v>
      </c>
      <c r="AA575" s="53">
        <f t="shared" ref="AA575:AA577" si="163">SUM(T575:Z575)</f>
        <v>50260.1</v>
      </c>
      <c r="AB575" s="49">
        <v>2019</v>
      </c>
      <c r="AC575" s="31"/>
    </row>
    <row r="576" spans="1:33" x14ac:dyDescent="0.25">
      <c r="A576" s="48" t="s">
        <v>18</v>
      </c>
      <c r="B576" s="48" t="s">
        <v>19</v>
      </c>
      <c r="C576" s="48" t="s">
        <v>24</v>
      </c>
      <c r="D576" s="48" t="s">
        <v>18</v>
      </c>
      <c r="E576" s="48" t="s">
        <v>21</v>
      </c>
      <c r="F576" s="48" t="s">
        <v>18</v>
      </c>
      <c r="G576" s="48" t="s">
        <v>22</v>
      </c>
      <c r="H576" s="48" t="s">
        <v>19</v>
      </c>
      <c r="I576" s="48" t="s">
        <v>24</v>
      </c>
      <c r="J576" s="48" t="s">
        <v>18</v>
      </c>
      <c r="K576" s="48" t="s">
        <v>18</v>
      </c>
      <c r="L576" s="48" t="s">
        <v>24</v>
      </c>
      <c r="M576" s="48" t="s">
        <v>42</v>
      </c>
      <c r="N576" s="48" t="s">
        <v>42</v>
      </c>
      <c r="O576" s="48" t="s">
        <v>42</v>
      </c>
      <c r="P576" s="48" t="s">
        <v>42</v>
      </c>
      <c r="Q576" s="48" t="s">
        <v>42</v>
      </c>
      <c r="R576" s="154"/>
      <c r="S576" s="151"/>
      <c r="T576" s="1">
        <v>0</v>
      </c>
      <c r="U576" s="1">
        <v>0</v>
      </c>
      <c r="V576" s="1">
        <v>25348.3</v>
      </c>
      <c r="W576" s="1">
        <f>21770.4+1031.8</f>
        <v>22802.2</v>
      </c>
      <c r="X576" s="1">
        <f>21770.4+6457.2</f>
        <v>28227.600000000002</v>
      </c>
      <c r="Y576" s="1">
        <v>0</v>
      </c>
      <c r="Z576" s="1">
        <v>0</v>
      </c>
      <c r="AA576" s="53">
        <f t="shared" si="163"/>
        <v>76378.100000000006</v>
      </c>
      <c r="AB576" s="49">
        <v>2022</v>
      </c>
      <c r="AC576" s="31"/>
    </row>
    <row r="577" spans="1:31" x14ac:dyDescent="0.25">
      <c r="A577" s="48" t="s">
        <v>18</v>
      </c>
      <c r="B577" s="48" t="s">
        <v>24</v>
      </c>
      <c r="C577" s="48" t="s">
        <v>22</v>
      </c>
      <c r="D577" s="48" t="s">
        <v>18</v>
      </c>
      <c r="E577" s="48" t="s">
        <v>21</v>
      </c>
      <c r="F577" s="48" t="s">
        <v>18</v>
      </c>
      <c r="G577" s="48" t="s">
        <v>22</v>
      </c>
      <c r="H577" s="48" t="s">
        <v>19</v>
      </c>
      <c r="I577" s="48" t="s">
        <v>24</v>
      </c>
      <c r="J577" s="48" t="s">
        <v>18</v>
      </c>
      <c r="K577" s="48" t="s">
        <v>18</v>
      </c>
      <c r="L577" s="48" t="s">
        <v>24</v>
      </c>
      <c r="M577" s="48" t="s">
        <v>42</v>
      </c>
      <c r="N577" s="48" t="s">
        <v>42</v>
      </c>
      <c r="O577" s="48" t="s">
        <v>42</v>
      </c>
      <c r="P577" s="48" t="s">
        <v>42</v>
      </c>
      <c r="Q577" s="48" t="s">
        <v>42</v>
      </c>
      <c r="R577" s="155"/>
      <c r="S577" s="152"/>
      <c r="T577" s="1">
        <v>0</v>
      </c>
      <c r="U577" s="1">
        <v>0</v>
      </c>
      <c r="V577" s="1">
        <v>0</v>
      </c>
      <c r="W577" s="1">
        <v>0</v>
      </c>
      <c r="X577" s="1">
        <v>0</v>
      </c>
      <c r="Y577" s="1">
        <v>25660.400000000001</v>
      </c>
      <c r="Z577" s="1">
        <v>25660.400000000001</v>
      </c>
      <c r="AA577" s="53">
        <f t="shared" si="163"/>
        <v>51320.800000000003</v>
      </c>
      <c r="AB577" s="49">
        <v>2024</v>
      </c>
      <c r="AC577" s="31"/>
    </row>
    <row r="578" spans="1:31" ht="31.5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69" t="s">
        <v>156</v>
      </c>
      <c r="S578" s="148" t="s">
        <v>50</v>
      </c>
      <c r="T578" s="2">
        <v>2225</v>
      </c>
      <c r="U578" s="40">
        <v>2224</v>
      </c>
      <c r="V578" s="40">
        <v>2224</v>
      </c>
      <c r="W578" s="40">
        <v>2224</v>
      </c>
      <c r="X578" s="40">
        <v>2225</v>
      </c>
      <c r="Y578" s="40">
        <v>2225</v>
      </c>
      <c r="Z578" s="40">
        <v>2225</v>
      </c>
      <c r="AA578" s="43">
        <f>Z578</f>
        <v>2225</v>
      </c>
      <c r="AB578" s="37">
        <v>2024</v>
      </c>
      <c r="AC578" s="31"/>
    </row>
    <row r="579" spans="1:31" ht="31.5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69" t="s">
        <v>157</v>
      </c>
      <c r="S579" s="148" t="s">
        <v>51</v>
      </c>
      <c r="T579" s="2">
        <v>365</v>
      </c>
      <c r="U579" s="2">
        <v>365</v>
      </c>
      <c r="V579" s="40">
        <v>366</v>
      </c>
      <c r="W579" s="40">
        <v>365</v>
      </c>
      <c r="X579" s="2">
        <v>365</v>
      </c>
      <c r="Y579" s="2">
        <v>365</v>
      </c>
      <c r="Z579" s="2">
        <v>366</v>
      </c>
      <c r="AA579" s="41">
        <f>T579+U579+V579+W579+X579+Y579+Z579</f>
        <v>2557</v>
      </c>
      <c r="AB579" s="37">
        <v>2024</v>
      </c>
      <c r="AC579" s="31"/>
    </row>
    <row r="580" spans="1:31" ht="31.5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69" t="s">
        <v>158</v>
      </c>
      <c r="S580" s="148" t="s">
        <v>37</v>
      </c>
      <c r="T580" s="2">
        <v>4917</v>
      </c>
      <c r="U580" s="2">
        <v>5400</v>
      </c>
      <c r="V580" s="2">
        <v>4794</v>
      </c>
      <c r="W580" s="40">
        <v>6500</v>
      </c>
      <c r="X580" s="2">
        <v>5668</v>
      </c>
      <c r="Y580" s="2">
        <v>4700</v>
      </c>
      <c r="Z580" s="2">
        <v>6453</v>
      </c>
      <c r="AA580" s="41">
        <f t="shared" ref="AA580:AA582" si="164">T580+U580+V580+W580+X580+Y580+Z580</f>
        <v>38432</v>
      </c>
      <c r="AB580" s="37">
        <v>2024</v>
      </c>
      <c r="AC580" s="110"/>
      <c r="AD580" s="89"/>
    </row>
    <row r="581" spans="1:31" ht="47.25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69" t="s">
        <v>159</v>
      </c>
      <c r="S581" s="148" t="s">
        <v>37</v>
      </c>
      <c r="T581" s="2">
        <v>4598</v>
      </c>
      <c r="U581" s="40">
        <v>4558</v>
      </c>
      <c r="V581" s="2">
        <v>4594</v>
      </c>
      <c r="W581" s="40">
        <v>6500</v>
      </c>
      <c r="X581" s="2">
        <v>5668</v>
      </c>
      <c r="Y581" s="2">
        <v>4700</v>
      </c>
      <c r="Z581" s="2">
        <v>6453</v>
      </c>
      <c r="AA581" s="41">
        <f t="shared" si="164"/>
        <v>37071</v>
      </c>
      <c r="AB581" s="37">
        <v>2024</v>
      </c>
      <c r="AC581" s="110"/>
      <c r="AD581" s="89"/>
    </row>
    <row r="582" spans="1:31" ht="47.25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69" t="s">
        <v>160</v>
      </c>
      <c r="S582" s="148" t="s">
        <v>37</v>
      </c>
      <c r="T582" s="2">
        <v>488</v>
      </c>
      <c r="U582" s="2">
        <v>550</v>
      </c>
      <c r="V582" s="2">
        <v>516</v>
      </c>
      <c r="W582" s="40">
        <v>500</v>
      </c>
      <c r="X582" s="2">
        <v>590</v>
      </c>
      <c r="Y582" s="2">
        <v>530</v>
      </c>
      <c r="Z582" s="2">
        <v>490</v>
      </c>
      <c r="AA582" s="41">
        <f t="shared" si="164"/>
        <v>3664</v>
      </c>
      <c r="AB582" s="37">
        <v>2024</v>
      </c>
      <c r="AC582" s="110"/>
      <c r="AD582" s="89"/>
    </row>
    <row r="583" spans="1:31" ht="15.75" customHeight="1" x14ac:dyDescent="0.25">
      <c r="A583" s="48"/>
      <c r="B583" s="48"/>
      <c r="C583" s="48"/>
      <c r="D583" s="48" t="s">
        <v>18</v>
      </c>
      <c r="E583" s="48" t="s">
        <v>21</v>
      </c>
      <c r="F583" s="48" t="s">
        <v>18</v>
      </c>
      <c r="G583" s="48" t="s">
        <v>22</v>
      </c>
      <c r="H583" s="48" t="s">
        <v>19</v>
      </c>
      <c r="I583" s="48" t="s">
        <v>24</v>
      </c>
      <c r="J583" s="48" t="s">
        <v>18</v>
      </c>
      <c r="K583" s="48" t="s">
        <v>18</v>
      </c>
      <c r="L583" s="48" t="s">
        <v>24</v>
      </c>
      <c r="M583" s="48" t="s">
        <v>42</v>
      </c>
      <c r="N583" s="48" t="s">
        <v>42</v>
      </c>
      <c r="O583" s="48" t="s">
        <v>42</v>
      </c>
      <c r="P583" s="48" t="s">
        <v>42</v>
      </c>
      <c r="Q583" s="48" t="s">
        <v>42</v>
      </c>
      <c r="R583" s="153" t="s">
        <v>302</v>
      </c>
      <c r="S583" s="150" t="s">
        <v>0</v>
      </c>
      <c r="T583" s="53">
        <f>SUM(T584:T586)</f>
        <v>0</v>
      </c>
      <c r="U583" s="53">
        <f t="shared" ref="U583:Z583" si="165">SUM(U584:U586)</f>
        <v>10680.8</v>
      </c>
      <c r="V583" s="53">
        <f t="shared" si="165"/>
        <v>0</v>
      </c>
      <c r="W583" s="53">
        <f t="shared" si="165"/>
        <v>4132.3</v>
      </c>
      <c r="X583" s="53">
        <f t="shared" si="165"/>
        <v>825</v>
      </c>
      <c r="Y583" s="53">
        <f t="shared" si="165"/>
        <v>0</v>
      </c>
      <c r="Z583" s="53">
        <f t="shared" si="165"/>
        <v>3000</v>
      </c>
      <c r="AA583" s="53">
        <f>SUM(T583:Z583)</f>
        <v>18638.099999999999</v>
      </c>
      <c r="AB583" s="52">
        <v>2024</v>
      </c>
      <c r="AC583" s="31"/>
      <c r="AD583" s="89"/>
    </row>
    <row r="584" spans="1:31" x14ac:dyDescent="0.25">
      <c r="A584" s="48" t="s">
        <v>18</v>
      </c>
      <c r="B584" s="48" t="s">
        <v>19</v>
      </c>
      <c r="C584" s="48" t="s">
        <v>20</v>
      </c>
      <c r="D584" s="48" t="s">
        <v>18</v>
      </c>
      <c r="E584" s="48" t="s">
        <v>21</v>
      </c>
      <c r="F584" s="48" t="s">
        <v>18</v>
      </c>
      <c r="G584" s="48" t="s">
        <v>22</v>
      </c>
      <c r="H584" s="48" t="s">
        <v>19</v>
      </c>
      <c r="I584" s="48" t="s">
        <v>24</v>
      </c>
      <c r="J584" s="48" t="s">
        <v>18</v>
      </c>
      <c r="K584" s="48" t="s">
        <v>18</v>
      </c>
      <c r="L584" s="48" t="s">
        <v>24</v>
      </c>
      <c r="M584" s="48" t="s">
        <v>42</v>
      </c>
      <c r="N584" s="48" t="s">
        <v>42</v>
      </c>
      <c r="O584" s="48" t="s">
        <v>42</v>
      </c>
      <c r="P584" s="48" t="s">
        <v>42</v>
      </c>
      <c r="Q584" s="48" t="s">
        <v>42</v>
      </c>
      <c r="R584" s="154"/>
      <c r="S584" s="151"/>
      <c r="T584" s="1">
        <v>0</v>
      </c>
      <c r="U584" s="1">
        <v>10680.8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3">
        <f t="shared" ref="AA584:AA586" si="166">SUM(T584:Z584)</f>
        <v>10680.8</v>
      </c>
      <c r="AB584" s="52">
        <v>2019</v>
      </c>
      <c r="AC584" s="31"/>
      <c r="AD584" s="89"/>
    </row>
    <row r="585" spans="1:31" x14ac:dyDescent="0.25">
      <c r="A585" s="48" t="s">
        <v>18</v>
      </c>
      <c r="B585" s="48" t="s">
        <v>19</v>
      </c>
      <c r="C585" s="48" t="s">
        <v>24</v>
      </c>
      <c r="D585" s="48" t="s">
        <v>18</v>
      </c>
      <c r="E585" s="48" t="s">
        <v>21</v>
      </c>
      <c r="F585" s="48" t="s">
        <v>18</v>
      </c>
      <c r="G585" s="48" t="s">
        <v>22</v>
      </c>
      <c r="H585" s="48" t="s">
        <v>19</v>
      </c>
      <c r="I585" s="48" t="s">
        <v>24</v>
      </c>
      <c r="J585" s="48" t="s">
        <v>18</v>
      </c>
      <c r="K585" s="48" t="s">
        <v>18</v>
      </c>
      <c r="L585" s="48" t="s">
        <v>24</v>
      </c>
      <c r="M585" s="48" t="s">
        <v>42</v>
      </c>
      <c r="N585" s="48" t="s">
        <v>42</v>
      </c>
      <c r="O585" s="48" t="s">
        <v>42</v>
      </c>
      <c r="P585" s="48" t="s">
        <v>42</v>
      </c>
      <c r="Q585" s="48" t="s">
        <v>42</v>
      </c>
      <c r="R585" s="154"/>
      <c r="S585" s="151"/>
      <c r="T585" s="1">
        <v>0</v>
      </c>
      <c r="U585" s="1">
        <v>0</v>
      </c>
      <c r="V585" s="1">
        <v>0</v>
      </c>
      <c r="W585" s="1">
        <v>4132.3</v>
      </c>
      <c r="X585" s="1">
        <f>0+825</f>
        <v>825</v>
      </c>
      <c r="Y585" s="1">
        <v>0</v>
      </c>
      <c r="Z585" s="1">
        <v>0</v>
      </c>
      <c r="AA585" s="53">
        <f t="shared" si="166"/>
        <v>4957.3</v>
      </c>
      <c r="AB585" s="52">
        <v>2022</v>
      </c>
      <c r="AC585" s="31"/>
      <c r="AD585" s="89"/>
    </row>
    <row r="586" spans="1:31" x14ac:dyDescent="0.25">
      <c r="A586" s="48" t="s">
        <v>18</v>
      </c>
      <c r="B586" s="48" t="s">
        <v>24</v>
      </c>
      <c r="C586" s="48" t="s">
        <v>22</v>
      </c>
      <c r="D586" s="48" t="s">
        <v>18</v>
      </c>
      <c r="E586" s="48" t="s">
        <v>21</v>
      </c>
      <c r="F586" s="48" t="s">
        <v>18</v>
      </c>
      <c r="G586" s="48" t="s">
        <v>22</v>
      </c>
      <c r="H586" s="48" t="s">
        <v>19</v>
      </c>
      <c r="I586" s="48" t="s">
        <v>24</v>
      </c>
      <c r="J586" s="48" t="s">
        <v>18</v>
      </c>
      <c r="K586" s="48" t="s">
        <v>18</v>
      </c>
      <c r="L586" s="48" t="s">
        <v>24</v>
      </c>
      <c r="M586" s="48" t="s">
        <v>42</v>
      </c>
      <c r="N586" s="48" t="s">
        <v>42</v>
      </c>
      <c r="O586" s="48" t="s">
        <v>42</v>
      </c>
      <c r="P586" s="48" t="s">
        <v>42</v>
      </c>
      <c r="Q586" s="48" t="s">
        <v>42</v>
      </c>
      <c r="R586" s="155"/>
      <c r="S586" s="152"/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3000</v>
      </c>
      <c r="AA586" s="53">
        <f t="shared" si="166"/>
        <v>3000</v>
      </c>
      <c r="AB586" s="52">
        <v>2024</v>
      </c>
      <c r="AC586" s="31"/>
      <c r="AD586" s="89"/>
    </row>
    <row r="587" spans="1:31" ht="31.5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67" t="s">
        <v>250</v>
      </c>
      <c r="S587" s="37" t="s">
        <v>37</v>
      </c>
      <c r="T587" s="40">
        <v>0</v>
      </c>
      <c r="U587" s="40">
        <v>7300</v>
      </c>
      <c r="V587" s="40">
        <v>0</v>
      </c>
      <c r="W587" s="40">
        <v>7300</v>
      </c>
      <c r="X587" s="40">
        <v>0</v>
      </c>
      <c r="Y587" s="40">
        <v>0</v>
      </c>
      <c r="Z587" s="40">
        <v>0</v>
      </c>
      <c r="AA587" s="43">
        <f>U587</f>
        <v>7300</v>
      </c>
      <c r="AB587" s="37">
        <v>2021</v>
      </c>
      <c r="AC587" s="31"/>
      <c r="AD587" s="91"/>
      <c r="AE587" s="91"/>
    </row>
    <row r="588" spans="1:31" ht="47.25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67" t="s">
        <v>340</v>
      </c>
      <c r="S588" s="37" t="s">
        <v>37</v>
      </c>
      <c r="T588" s="40">
        <v>0</v>
      </c>
      <c r="U588" s="40">
        <v>0</v>
      </c>
      <c r="V588" s="40">
        <v>0</v>
      </c>
      <c r="W588" s="40">
        <v>0</v>
      </c>
      <c r="X588" s="40">
        <v>2</v>
      </c>
      <c r="Y588" s="40">
        <v>0</v>
      </c>
      <c r="Z588" s="40">
        <v>0</v>
      </c>
      <c r="AA588" s="43">
        <f>X588</f>
        <v>2</v>
      </c>
      <c r="AB588" s="37">
        <v>2022</v>
      </c>
      <c r="AC588" s="31"/>
      <c r="AD588" s="91"/>
      <c r="AE588" s="91"/>
    </row>
    <row r="589" spans="1:31" ht="33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67" t="s">
        <v>365</v>
      </c>
      <c r="S589" s="37" t="s">
        <v>37</v>
      </c>
      <c r="T589" s="40">
        <v>0</v>
      </c>
      <c r="U589" s="40">
        <v>0</v>
      </c>
      <c r="V589" s="40">
        <v>0</v>
      </c>
      <c r="W589" s="40">
        <v>0</v>
      </c>
      <c r="X589" s="40">
        <v>0</v>
      </c>
      <c r="Y589" s="40">
        <v>0</v>
      </c>
      <c r="Z589" s="40">
        <v>1</v>
      </c>
      <c r="AA589" s="43">
        <v>1</v>
      </c>
      <c r="AB589" s="37">
        <v>2024</v>
      </c>
      <c r="AC589" s="31"/>
      <c r="AD589" s="91"/>
      <c r="AE589" s="91"/>
    </row>
    <row r="590" spans="1:31" x14ac:dyDescent="0.25">
      <c r="A590" s="48"/>
      <c r="B590" s="48"/>
      <c r="C590" s="48"/>
      <c r="D590" s="48" t="s">
        <v>18</v>
      </c>
      <c r="E590" s="48" t="s">
        <v>21</v>
      </c>
      <c r="F590" s="48" t="s">
        <v>18</v>
      </c>
      <c r="G590" s="48" t="s">
        <v>22</v>
      </c>
      <c r="H590" s="48" t="s">
        <v>19</v>
      </c>
      <c r="I590" s="48" t="s">
        <v>24</v>
      </c>
      <c r="J590" s="48" t="s">
        <v>18</v>
      </c>
      <c r="K590" s="48" t="s">
        <v>18</v>
      </c>
      <c r="L590" s="48" t="s">
        <v>24</v>
      </c>
      <c r="M590" s="48" t="s">
        <v>18</v>
      </c>
      <c r="N590" s="48" t="s">
        <v>18</v>
      </c>
      <c r="O590" s="48" t="s">
        <v>18</v>
      </c>
      <c r="P590" s="48" t="s">
        <v>24</v>
      </c>
      <c r="Q590" s="48" t="s">
        <v>22</v>
      </c>
      <c r="R590" s="153" t="s">
        <v>339</v>
      </c>
      <c r="S590" s="150" t="s">
        <v>0</v>
      </c>
      <c r="T590" s="53">
        <v>0</v>
      </c>
      <c r="U590" s="53">
        <f>4000-4000</f>
        <v>0</v>
      </c>
      <c r="V590" s="53">
        <v>0</v>
      </c>
      <c r="W590" s="53">
        <v>0</v>
      </c>
      <c r="X590" s="53">
        <f>X591+X592</f>
        <v>930</v>
      </c>
      <c r="Y590" s="53">
        <f t="shared" ref="Y590:Z590" si="167">Y591+Y592</f>
        <v>9521.5</v>
      </c>
      <c r="Z590" s="53">
        <f t="shared" si="167"/>
        <v>18409.099999999999</v>
      </c>
      <c r="AA590" s="53">
        <f>SUM(T590:Z590)</f>
        <v>28860.6</v>
      </c>
      <c r="AB590" s="52">
        <v>2024</v>
      </c>
      <c r="AC590" s="31"/>
      <c r="AD590" s="89"/>
    </row>
    <row r="591" spans="1:31" x14ac:dyDescent="0.25">
      <c r="A591" s="48" t="s">
        <v>18</v>
      </c>
      <c r="B591" s="48" t="s">
        <v>19</v>
      </c>
      <c r="C591" s="48" t="s">
        <v>24</v>
      </c>
      <c r="D591" s="48" t="s">
        <v>18</v>
      </c>
      <c r="E591" s="48" t="s">
        <v>21</v>
      </c>
      <c r="F591" s="48" t="s">
        <v>18</v>
      </c>
      <c r="G591" s="48" t="s">
        <v>22</v>
      </c>
      <c r="H591" s="48" t="s">
        <v>19</v>
      </c>
      <c r="I591" s="48" t="s">
        <v>24</v>
      </c>
      <c r="J591" s="48" t="s">
        <v>18</v>
      </c>
      <c r="K591" s="48" t="s">
        <v>18</v>
      </c>
      <c r="L591" s="48" t="s">
        <v>24</v>
      </c>
      <c r="M591" s="48" t="s">
        <v>18</v>
      </c>
      <c r="N591" s="48" t="s">
        <v>18</v>
      </c>
      <c r="O591" s="48" t="s">
        <v>18</v>
      </c>
      <c r="P591" s="48" t="s">
        <v>24</v>
      </c>
      <c r="Q591" s="48" t="s">
        <v>22</v>
      </c>
      <c r="R591" s="154"/>
      <c r="S591" s="151"/>
      <c r="T591" s="1">
        <v>0</v>
      </c>
      <c r="U591" s="1">
        <v>0</v>
      </c>
      <c r="V591" s="1">
        <v>0</v>
      </c>
      <c r="W591" s="1">
        <v>0</v>
      </c>
      <c r="X591" s="1">
        <v>930</v>
      </c>
      <c r="Y591" s="1">
        <v>0</v>
      </c>
      <c r="Z591" s="1">
        <v>0</v>
      </c>
      <c r="AA591" s="53">
        <f t="shared" ref="AA591:AA592" si="168">SUM(T591:Z591)</f>
        <v>930</v>
      </c>
      <c r="AB591" s="52">
        <v>2022</v>
      </c>
      <c r="AC591" s="31"/>
      <c r="AD591" s="89"/>
    </row>
    <row r="592" spans="1:31" x14ac:dyDescent="0.25">
      <c r="A592" s="48" t="s">
        <v>18</v>
      </c>
      <c r="B592" s="48" t="s">
        <v>24</v>
      </c>
      <c r="C592" s="48" t="s">
        <v>22</v>
      </c>
      <c r="D592" s="48" t="s">
        <v>18</v>
      </c>
      <c r="E592" s="48" t="s">
        <v>21</v>
      </c>
      <c r="F592" s="48" t="s">
        <v>18</v>
      </c>
      <c r="G592" s="48" t="s">
        <v>22</v>
      </c>
      <c r="H592" s="48" t="s">
        <v>19</v>
      </c>
      <c r="I592" s="48" t="s">
        <v>24</v>
      </c>
      <c r="J592" s="48" t="s">
        <v>18</v>
      </c>
      <c r="K592" s="48" t="s">
        <v>18</v>
      </c>
      <c r="L592" s="48" t="s">
        <v>24</v>
      </c>
      <c r="M592" s="48" t="s">
        <v>18</v>
      </c>
      <c r="N592" s="48" t="s">
        <v>18</v>
      </c>
      <c r="O592" s="48" t="s">
        <v>18</v>
      </c>
      <c r="P592" s="48" t="s">
        <v>24</v>
      </c>
      <c r="Q592" s="48" t="s">
        <v>22</v>
      </c>
      <c r="R592" s="155"/>
      <c r="S592" s="152"/>
      <c r="T592" s="1">
        <v>0</v>
      </c>
      <c r="U592" s="1">
        <v>0</v>
      </c>
      <c r="V592" s="1">
        <v>0</v>
      </c>
      <c r="W592" s="1">
        <v>0</v>
      </c>
      <c r="X592" s="1">
        <v>0</v>
      </c>
      <c r="Y592" s="1">
        <f>11902.6-2381.1</f>
        <v>9521.5</v>
      </c>
      <c r="Z592" s="1">
        <v>18409.099999999999</v>
      </c>
      <c r="AA592" s="53">
        <f t="shared" si="168"/>
        <v>27930.6</v>
      </c>
      <c r="AB592" s="52">
        <v>2024</v>
      </c>
      <c r="AC592" s="31"/>
      <c r="AD592" s="89"/>
    </row>
    <row r="593" spans="1:31" ht="31.5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67" t="s">
        <v>249</v>
      </c>
      <c r="S593" s="37" t="s">
        <v>37</v>
      </c>
      <c r="T593" s="40">
        <v>0</v>
      </c>
      <c r="U593" s="40">
        <v>0</v>
      </c>
      <c r="V593" s="40">
        <v>0</v>
      </c>
      <c r="W593" s="40">
        <v>0</v>
      </c>
      <c r="X593" s="40">
        <v>1</v>
      </c>
      <c r="Y593" s="40">
        <v>0</v>
      </c>
      <c r="Z593" s="40">
        <v>0</v>
      </c>
      <c r="AA593" s="43">
        <v>1</v>
      </c>
      <c r="AB593" s="37">
        <v>2022</v>
      </c>
      <c r="AC593" s="31"/>
      <c r="AD593" s="91"/>
      <c r="AE593" s="91"/>
    </row>
    <row r="594" spans="1:31" ht="31.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67" t="s">
        <v>359</v>
      </c>
      <c r="S594" s="37" t="s">
        <v>37</v>
      </c>
      <c r="T594" s="40">
        <v>0</v>
      </c>
      <c r="U594" s="40">
        <v>0</v>
      </c>
      <c r="V594" s="40">
        <v>0</v>
      </c>
      <c r="W594" s="40">
        <v>0</v>
      </c>
      <c r="X594" s="40">
        <v>0</v>
      </c>
      <c r="Y594" s="40">
        <v>1</v>
      </c>
      <c r="Z594" s="40">
        <v>0</v>
      </c>
      <c r="AA594" s="43">
        <f>Y594+Z594</f>
        <v>1</v>
      </c>
      <c r="AB594" s="37">
        <v>2023</v>
      </c>
      <c r="AC594" s="31"/>
      <c r="AD594" s="91"/>
      <c r="AE594" s="91"/>
    </row>
    <row r="595" spans="1:31" ht="31.5" x14ac:dyDescent="0.25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67" t="s">
        <v>346</v>
      </c>
      <c r="S595" s="37" t="s">
        <v>37</v>
      </c>
      <c r="T595" s="40">
        <v>0</v>
      </c>
      <c r="U595" s="40">
        <v>0</v>
      </c>
      <c r="V595" s="40">
        <v>0</v>
      </c>
      <c r="W595" s="40">
        <v>0</v>
      </c>
      <c r="X595" s="40">
        <v>0</v>
      </c>
      <c r="Y595" s="40">
        <v>0</v>
      </c>
      <c r="Z595" s="40">
        <v>14000</v>
      </c>
      <c r="AA595" s="43">
        <f>Z595</f>
        <v>14000</v>
      </c>
      <c r="AB595" s="37">
        <v>2024</v>
      </c>
      <c r="AC595" s="31"/>
    </row>
    <row r="596" spans="1:31" ht="47.25" x14ac:dyDescent="0.25">
      <c r="A596" s="48" t="s">
        <v>18</v>
      </c>
      <c r="B596" s="48" t="s">
        <v>24</v>
      </c>
      <c r="C596" s="48" t="s">
        <v>22</v>
      </c>
      <c r="D596" s="48" t="s">
        <v>18</v>
      </c>
      <c r="E596" s="48" t="s">
        <v>21</v>
      </c>
      <c r="F596" s="48" t="s">
        <v>18</v>
      </c>
      <c r="G596" s="48" t="s">
        <v>22</v>
      </c>
      <c r="H596" s="48" t="s">
        <v>19</v>
      </c>
      <c r="I596" s="48" t="s">
        <v>24</v>
      </c>
      <c r="J596" s="48" t="s">
        <v>18</v>
      </c>
      <c r="K596" s="48" t="s">
        <v>18</v>
      </c>
      <c r="L596" s="48" t="s">
        <v>24</v>
      </c>
      <c r="M596" s="48" t="s">
        <v>42</v>
      </c>
      <c r="N596" s="48" t="s">
        <v>42</v>
      </c>
      <c r="O596" s="48" t="s">
        <v>42</v>
      </c>
      <c r="P596" s="48" t="s">
        <v>42</v>
      </c>
      <c r="Q596" s="48" t="s">
        <v>42</v>
      </c>
      <c r="R596" s="146" t="s">
        <v>361</v>
      </c>
      <c r="S596" s="52" t="s">
        <v>0</v>
      </c>
      <c r="T596" s="53">
        <v>0</v>
      </c>
      <c r="U596" s="53">
        <f>4000-4000</f>
        <v>0</v>
      </c>
      <c r="V596" s="53">
        <v>0</v>
      </c>
      <c r="W596" s="53">
        <v>0</v>
      </c>
      <c r="X596" s="53">
        <v>0</v>
      </c>
      <c r="Y596" s="53">
        <f>500+1000-1000.2</f>
        <v>499.79999999999995</v>
      </c>
      <c r="Z596" s="53">
        <v>0</v>
      </c>
      <c r="AA596" s="53">
        <f>SUM(T596:Z596)</f>
        <v>499.79999999999995</v>
      </c>
      <c r="AB596" s="52">
        <v>2023</v>
      </c>
      <c r="AC596" s="31"/>
      <c r="AD596" s="89"/>
    </row>
    <row r="597" spans="1:31" ht="31.5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67" t="s">
        <v>360</v>
      </c>
      <c r="S597" s="37" t="s">
        <v>37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77</v>
      </c>
      <c r="Z597" s="40">
        <v>0</v>
      </c>
      <c r="AA597" s="43">
        <f>SUM(T597:Z597)</f>
        <v>77</v>
      </c>
      <c r="AB597" s="37">
        <v>2023</v>
      </c>
      <c r="AC597" s="31"/>
      <c r="AD597" s="91"/>
      <c r="AE597" s="91"/>
    </row>
    <row r="598" spans="1:31" ht="26.45" customHeight="1" x14ac:dyDescent="0.25">
      <c r="AB598" s="147" t="s">
        <v>56</v>
      </c>
    </row>
    <row r="599" spans="1:31" ht="51.75" customHeight="1" x14ac:dyDescent="0.25"/>
    <row r="600" spans="1:31" ht="408.75" customHeight="1" x14ac:dyDescent="0.25"/>
    <row r="601" spans="1:31" ht="68.25" customHeight="1" x14ac:dyDescent="0.25">
      <c r="A601" s="174"/>
      <c r="B601" s="174"/>
      <c r="C601" s="174"/>
      <c r="D601" s="174"/>
      <c r="E601" s="174"/>
      <c r="F601" s="174"/>
      <c r="G601" s="174"/>
      <c r="H601" s="174"/>
      <c r="I601" s="174"/>
      <c r="J601" s="174"/>
      <c r="K601" s="174"/>
      <c r="L601" s="174"/>
      <c r="M601" s="174"/>
      <c r="N601" s="174"/>
      <c r="O601" s="174"/>
      <c r="P601" s="174"/>
      <c r="Q601" s="174"/>
      <c r="R601" s="174"/>
      <c r="S601" s="174"/>
      <c r="T601" s="174"/>
      <c r="U601" s="174"/>
      <c r="V601" s="174"/>
      <c r="W601" s="174"/>
      <c r="X601" s="174"/>
      <c r="Y601" s="174"/>
      <c r="Z601" s="174"/>
      <c r="AA601" s="174"/>
      <c r="AB601" s="174"/>
    </row>
  </sheetData>
  <mergeCells count="96">
    <mergeCell ref="R551:R553"/>
    <mergeCell ref="R543:R544"/>
    <mergeCell ref="R546:R547"/>
    <mergeCell ref="R540:R541"/>
    <mergeCell ref="S479:S481"/>
    <mergeCell ref="R537:R538"/>
    <mergeCell ref="R534:R535"/>
    <mergeCell ref="R479:R481"/>
    <mergeCell ref="R492:R494"/>
    <mergeCell ref="S497:S499"/>
    <mergeCell ref="S492:S494"/>
    <mergeCell ref="R497:R499"/>
    <mergeCell ref="R487:R489"/>
    <mergeCell ref="S487:S489"/>
    <mergeCell ref="A601:AB601"/>
    <mergeCell ref="R590:R592"/>
    <mergeCell ref="S590:S592"/>
    <mergeCell ref="R574:R577"/>
    <mergeCell ref="S574:S577"/>
    <mergeCell ref="R583:R586"/>
    <mergeCell ref="S583:S586"/>
    <mergeCell ref="A7:AB7"/>
    <mergeCell ref="A8:AB8"/>
    <mergeCell ref="A9:AB9"/>
    <mergeCell ref="A11:Q11"/>
    <mergeCell ref="R11:R12"/>
    <mergeCell ref="S11:S12"/>
    <mergeCell ref="AA11:AB11"/>
    <mergeCell ref="A12:C12"/>
    <mergeCell ref="D12:E12"/>
    <mergeCell ref="F12:G12"/>
    <mergeCell ref="H12:Q12"/>
    <mergeCell ref="T11:Z11"/>
    <mergeCell ref="A1:AB1"/>
    <mergeCell ref="A4:AB4"/>
    <mergeCell ref="A5:AB5"/>
    <mergeCell ref="A6:AB6"/>
    <mergeCell ref="A3:AB3"/>
    <mergeCell ref="R74:R78"/>
    <mergeCell ref="R116:R118"/>
    <mergeCell ref="R160:R167"/>
    <mergeCell ref="R55:R58"/>
    <mergeCell ref="R211:R213"/>
    <mergeCell ref="R341:R344"/>
    <mergeCell ref="R462:R464"/>
    <mergeCell ref="R392:R397"/>
    <mergeCell ref="R427:R431"/>
    <mergeCell ref="S261:S269"/>
    <mergeCell ref="S308:S317"/>
    <mergeCell ref="S351:S362"/>
    <mergeCell ref="R346:R349"/>
    <mergeCell ref="R385:R390"/>
    <mergeCell ref="S462:S464"/>
    <mergeCell ref="R365:R369"/>
    <mergeCell ref="R371:R376"/>
    <mergeCell ref="R446:R455"/>
    <mergeCell ref="R378:R383"/>
    <mergeCell ref="R420:R425"/>
    <mergeCell ref="S446:S455"/>
    <mergeCell ref="S242:S246"/>
    <mergeCell ref="R320:R324"/>
    <mergeCell ref="R326:R329"/>
    <mergeCell ref="R331:R334"/>
    <mergeCell ref="R336:R339"/>
    <mergeCell ref="R242:R246"/>
    <mergeCell ref="R250:R253"/>
    <mergeCell ref="R273:R276"/>
    <mergeCell ref="R261:R269"/>
    <mergeCell ref="R308:R317"/>
    <mergeCell ref="S250:S253"/>
    <mergeCell ref="S80:S87"/>
    <mergeCell ref="S89:S92"/>
    <mergeCell ref="S218:S222"/>
    <mergeCell ref="R234:R238"/>
    <mergeCell ref="S226:S230"/>
    <mergeCell ref="S234:S238"/>
    <mergeCell ref="R226:R230"/>
    <mergeCell ref="R80:R87"/>
    <mergeCell ref="R89:R92"/>
    <mergeCell ref="R218:R222"/>
    <mergeCell ref="S38:S46"/>
    <mergeCell ref="R38:R46"/>
    <mergeCell ref="S160:S167"/>
    <mergeCell ref="R433:R437"/>
    <mergeCell ref="R439:R444"/>
    <mergeCell ref="R399:R404"/>
    <mergeCell ref="R406:R411"/>
    <mergeCell ref="R413:R418"/>
    <mergeCell ref="S74:S78"/>
    <mergeCell ref="S116:S118"/>
    <mergeCell ref="R351:R362"/>
    <mergeCell ref="R278:R281"/>
    <mergeCell ref="R283:R287"/>
    <mergeCell ref="R289:R293"/>
    <mergeCell ref="R295:R299"/>
    <mergeCell ref="R302:R306"/>
  </mergeCells>
  <pageMargins left="0.31496062992125984" right="0.27559055118110237" top="0.59055118110236227" bottom="0.51181102362204722" header="0" footer="0"/>
  <pageSetup paperSize="9" scale="64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2024-04-19T12:15:58Z</dcterms:modified>
</cp:coreProperties>
</file>